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cmVGVjHX6ChndyIMDOZztgyzuy3vQm1zX6eHu1FDYtXt277a0E6IMvFvVl6z6Ut8t2ArNH9/JTrJNMM10AkTg==" workbookSaltValue="2Sixw8OSkd0RfJVXGY0A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M32" i="20"/>
  <c r="J32" i="20"/>
  <c r="AK32" i="20"/>
  <c r="U12" i="11"/>
  <c r="AZ32" i="20"/>
  <c r="R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W32" i="20"/>
  <c r="BF17" i="8" l="1"/>
  <c r="T31" i="8"/>
  <c r="L17" i="14"/>
  <c r="F16" i="11"/>
  <c r="AQ16" i="11" s="1"/>
  <c r="R8" i="9"/>
  <c r="S10" i="14" s="1"/>
  <c r="V10" i="14" s="1"/>
  <c r="BF16" i="13"/>
  <c r="BG17" i="13"/>
  <c r="BF13" i="11"/>
  <c r="X12" i="21"/>
  <c r="BF11" i="11"/>
  <c r="BH21" i="16"/>
  <c r="BL9" i="11"/>
  <c r="BH18" i="16"/>
  <c r="BF19" i="11"/>
  <c r="BJ19" i="11"/>
  <c r="BL18" i="11"/>
  <c r="BI28" i="11"/>
  <c r="BK12" i="11"/>
  <c r="BF25" i="11"/>
  <c r="S18" i="16"/>
  <c r="AZ29" i="11"/>
  <c r="BK16" i="11"/>
  <c r="BJ21" i="11"/>
  <c r="V21" i="11"/>
  <c r="BF22" i="11"/>
  <c r="BH9" i="11"/>
  <c r="BI16"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BK25" i="11"/>
  <c r="BM25" i="11"/>
  <c r="Q10" i="21"/>
  <c r="BI10" i="11"/>
  <c r="BG29" i="11"/>
  <c r="S9" i="17"/>
  <c r="V18" i="16"/>
  <c r="BK9" i="11"/>
  <c r="BK19" i="11"/>
  <c r="BH19" i="11"/>
  <c r="BF29" i="11"/>
  <c r="BM29" i="11"/>
  <c r="P18" i="17"/>
  <c r="BH19" i="16"/>
  <c r="BH16" i="11"/>
  <c r="BK13" i="11"/>
  <c r="S20" i="14"/>
  <c r="V20" i="14" s="1"/>
  <c r="BH11" i="16"/>
  <c r="T9" i="11"/>
  <c r="V16" i="11"/>
  <c r="BG25" i="11"/>
  <c r="R28" i="14"/>
  <c r="R18" i="14"/>
  <c r="S28" i="14"/>
  <c r="V28" i="14" s="1"/>
  <c r="S21" i="14"/>
  <c r="V21" i="14" s="1"/>
  <c r="BH9" i="16"/>
  <c r="AP17" i="20"/>
  <c r="BJ22"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9" i="11"/>
  <c r="BH16" i="16"/>
  <c r="BF28" i="11"/>
  <c r="BG20" i="11"/>
  <c r="BK29" i="11"/>
  <c r="BK11" i="11"/>
  <c r="AP10" i="21"/>
  <c r="BH20"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L16" i="11"/>
  <c r="BH21" i="11"/>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J18" i="11"/>
  <c r="Q18" i="20"/>
  <c r="Q23" i="20" s="1"/>
  <c r="BF18" i="11"/>
  <c r="BG22" i="11"/>
  <c r="AZ19" i="11"/>
  <c r="V12" i="21"/>
  <c r="AP21" i="20"/>
  <c r="R10" i="21"/>
  <c r="BL11" i="11"/>
  <c r="BL21" i="11"/>
  <c r="T18" i="16"/>
  <c r="BG21" i="11"/>
  <c r="BU25" i="17"/>
  <c r="BV13" i="16"/>
  <c r="BW13" i="20"/>
  <c r="BU29" i="17"/>
  <c r="BW11" i="20"/>
  <c r="BW28" i="20"/>
  <c r="S11" i="17"/>
  <c r="AZ11" i="11"/>
  <c r="BH25" i="16"/>
  <c r="BI22" i="11"/>
  <c r="BK10" i="11"/>
  <c r="L10" i="2"/>
  <c r="X21" i="20"/>
  <c r="L17" i="2"/>
  <c r="X16" i="16"/>
  <c r="X23" i="16" s="1"/>
  <c r="V25" i="16"/>
  <c r="AZ18" i="11"/>
  <c r="BJ11" i="11"/>
  <c r="BG9" i="11"/>
  <c r="R18" i="20"/>
  <c r="R23" i="20" s="1"/>
  <c r="BK18" i="11"/>
  <c r="AP18" i="20"/>
  <c r="BV28" i="16"/>
  <c r="BV21" i="16"/>
  <c r="BV11" i="16"/>
  <c r="S21" i="17"/>
  <c r="BU13" i="17"/>
  <c r="BV20" i="16"/>
  <c r="S25" i="17"/>
  <c r="P16" i="17"/>
  <c r="P23" i="17" s="1"/>
  <c r="P31" i="17" s="1"/>
  <c r="BF12" i="11"/>
  <c r="BK20" i="11"/>
  <c r="AZ25" i="11"/>
  <c r="AZ30" i="11" s="1"/>
  <c r="BJ10" i="11"/>
  <c r="BK17" i="11"/>
  <c r="Q16" i="17"/>
  <c r="Q23" i="17" s="1"/>
  <c r="Q31" i="17" s="1"/>
  <c r="BM18" i="11"/>
  <c r="BF16" i="11"/>
  <c r="BH17" i="11"/>
  <c r="BL22" i="11"/>
  <c r="AQ12" i="21"/>
  <c r="BH25" i="11"/>
  <c r="BI21" i="11"/>
  <c r="L28" i="2"/>
  <c r="L16" i="2"/>
  <c r="L18"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AL31" i="21"/>
  <c r="AQ17" i="11"/>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<sst xmlns="http://schemas.openxmlformats.org/spreadsheetml/2006/main" count="2682" uniqueCount="1193">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</sst>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i/AQzyaMdurUzQs4pU7Gk1Wznw1vKqLvM2IDvZTGAAx4NtjV+sjy1/QjVoxY0eB39onuBvnbICsT7U9qpfILw==" saltValue="gNLGq/DJ22eJggcbKWa2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4</v>
      </c>
      <c r="F10" s="240">
        <f>IF(ISNUMBER(Datos!K10),Datos!K10," - ")</f>
        <v>0</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0.15384615384615385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26.03448275862069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754</v>
      </c>
      <c r="D17" s="239">
        <f>IF(ISNUMBER(IF(D_I="SI",Datos!I17,Datos!I17+Datos!AC17)),IF(D_I="SI",Datos!I17,Datos!I17+Datos!AC17)," - ")</f>
        <v>750</v>
      </c>
      <c r="E17" s="240">
        <f>IF(ISNUMBER(IF(D_I="SI",Datos!J17,Datos!J17+Datos!AD17)),IF(D_I="SI",Datos!J17,Datos!J17+Datos!AD17)," - ")</f>
        <v>694</v>
      </c>
      <c r="F17" s="240">
        <f>IF(ISNUMBER(IF(D_I="SI",Datos!K17,Datos!K17+Datos!AE17)),IF(D_I="SI",Datos!K17,Datos!K17+Datos!AE17)," - ")</f>
        <v>707</v>
      </c>
      <c r="G17" s="1390" t="str">
        <f>IF(Datos!E17&lt;&gt;"",Datos!E17,Datos!D17)</f>
        <v>04</v>
      </c>
      <c r="H17" s="241">
        <f>IF(ISNUMBER(IF(D_I="SI",Datos!L17,Datos!L17+Datos!AF17)),IF(D_I="SI",Datos!L17,Datos!L17+Datos!AF17)," - ")</f>
        <v>741</v>
      </c>
      <c r="I17" s="1400" t="str">
        <f>IF(ISNUMBER(Datos!AS17/Datos!BM17),Datos!AS17/Datos!BM17," - ")</f>
        <v xml:space="preserve"> - </v>
      </c>
      <c r="J17" s="1401">
        <f>IF(ISNUMBER(Datos!BY17/Datos!CN17),Datos!BY17/Datos!CN17," - ")</f>
        <v>0</v>
      </c>
      <c r="K17" s="244">
        <f t="shared" si="3"/>
        <v>-1.7241379310344827E-2</v>
      </c>
      <c r="L17" s="1402">
        <f>IF(ISNUMBER(NºAsuntos!I17/NºAsuntos!G17),(NºAsuntos!I17/NºAsuntos!G17)*11," - ")</f>
        <v>11.52899575671853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80</v>
      </c>
      <c r="D18" s="239">
        <f>IF(ISNUMBER(IF(D_I="SI",Datos!I18,Datos!I18+Datos!AC18)),IF(D_I="SI",Datos!I18,Datos!I18+Datos!AC18)," - ")</f>
        <v>80</v>
      </c>
      <c r="E18" s="240">
        <f>IF(ISNUMBER(IF(D_I="SI",Datos!J18,Datos!J18+Datos!AD18)),IF(D_I="SI",Datos!J18,Datos!J18+Datos!AD18)," - ")</f>
        <v>155</v>
      </c>
      <c r="F18" s="240">
        <f>IF(ISNUMBER(IF(D_I="SI",Datos!K18,Datos!K18+Datos!AE18)),IF(D_I="SI",Datos!K18,Datos!K18+Datos!AE18)," - ")</f>
        <v>165</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4.666666666666667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834</v>
      </c>
      <c r="D23" s="1407">
        <f>SUBTOTAL(9,D16:D22)</f>
        <v>830</v>
      </c>
      <c r="E23" s="1408">
        <f>SUBTOTAL(9,E16:E22)</f>
        <v>849</v>
      </c>
      <c r="F23" s="1408">
        <f>SUBTOTAL(9,F16:F22)</f>
        <v>872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860</v>
      </c>
      <c r="D31" s="1435">
        <f>SUBTOTAL(9,D9:D30)</f>
        <v>856</v>
      </c>
      <c r="E31" s="1436">
        <f>SUBTOTAL(9,E9:E30)</f>
        <v>853</v>
      </c>
      <c r="F31" s="1436">
        <f>SUBTOTAL(9,F9:F30)</f>
        <v>872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c8/mWJZThSB2U7+OKEwOMgh1duAHBDDKUGxXuKm3HtOjRT6Cv6ms11Rb0YYtmu3yGxMPZJpZsMWBM319C/AuQ==" saltValue="GU6gOih3jsDV5n2Pj/7g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zR+Wm3sRl5xhElQ2qHNlBDrIYsfazCh4kgmM4r4A8konQe1G1NJZ2iDcsd2zeWAllDHJxn0OirqmHCRbTySDA==" saltValue="IKX88OTEG6xZIDqLLhSS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4</v>
      </c>
      <c r="K10" s="194">
        <v>0</v>
      </c>
      <c r="L10" s="194">
        <v>30</v>
      </c>
      <c r="M10" s="194">
        <v>0</v>
      </c>
      <c r="N10" s="194">
        <v>0</v>
      </c>
      <c r="O10" s="194">
        <v>0</v>
      </c>
      <c r="P10" s="194">
        <v>0</v>
      </c>
      <c r="Q10" s="194">
        <v>0</v>
      </c>
      <c r="R10" s="194">
        <v>2</v>
      </c>
      <c r="S10" s="194">
        <v>22</v>
      </c>
      <c r="T10" s="194">
        <v>1</v>
      </c>
      <c r="U10" s="194">
        <v>0</v>
      </c>
      <c r="V10" s="194">
        <v>23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1</v>
      </c>
      <c r="BA10" s="139">
        <f t="shared" si="0"/>
        <v>0</v>
      </c>
      <c r="BB10" s="139">
        <f t="shared" si="0"/>
        <v>23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2137</v>
      </c>
      <c r="J12" s="196">
        <v>849</v>
      </c>
      <c r="K12" s="196">
        <v>855</v>
      </c>
      <c r="L12" s="196">
        <v>2131</v>
      </c>
      <c r="M12" s="196">
        <v>210</v>
      </c>
      <c r="N12" s="196">
        <v>366</v>
      </c>
      <c r="O12" s="194">
        <v>418</v>
      </c>
      <c r="P12" s="196">
        <v>194</v>
      </c>
      <c r="Q12" s="196">
        <v>255</v>
      </c>
      <c r="R12" s="196">
        <v>3391</v>
      </c>
      <c r="S12" s="196">
        <v>2199</v>
      </c>
      <c r="T12" s="196">
        <v>892</v>
      </c>
      <c r="U12" s="196">
        <v>892</v>
      </c>
      <c r="V12" s="196">
        <v>2197</v>
      </c>
      <c r="W12" s="196">
        <v>213</v>
      </c>
      <c r="X12" s="202">
        <v>421</v>
      </c>
      <c r="Y12" s="204">
        <v>127</v>
      </c>
      <c r="Z12" s="194">
        <v>109</v>
      </c>
      <c r="AA12" s="194">
        <v>102</v>
      </c>
      <c r="AB12" s="194">
        <v>134</v>
      </c>
      <c r="AC12" s="196">
        <v>0</v>
      </c>
      <c r="AD12" s="196">
        <v>0</v>
      </c>
      <c r="AE12" s="196">
        <v>0</v>
      </c>
      <c r="AF12" s="202">
        <v>0</v>
      </c>
      <c r="AG12" s="215">
        <v>94</v>
      </c>
      <c r="AH12" s="196">
        <v>125</v>
      </c>
      <c r="AI12" s="196">
        <v>112</v>
      </c>
      <c r="AJ12" s="216">
        <v>122</v>
      </c>
      <c r="AK12" s="195">
        <v>0</v>
      </c>
      <c r="AL12" s="196">
        <v>0</v>
      </c>
      <c r="AM12" s="196">
        <v>0</v>
      </c>
      <c r="AN12" s="202">
        <v>0</v>
      </c>
      <c r="AO12" s="283">
        <v>4</v>
      </c>
      <c r="AP12" s="168">
        <v>4</v>
      </c>
      <c r="AQ12" s="168">
        <v>4</v>
      </c>
      <c r="AR12" s="167">
        <v>4</v>
      </c>
      <c r="AS12" s="381" t="s">
        <v>1075</v>
      </c>
      <c r="AT12" s="216"/>
      <c r="AU12" s="215"/>
      <c r="AV12" s="216"/>
      <c r="AW12" s="215"/>
      <c r="AX12" s="216"/>
      <c r="AY12" s="136">
        <f t="shared" si="1"/>
        <v>2293</v>
      </c>
      <c r="AZ12" s="137">
        <f t="shared" si="1"/>
        <v>1017</v>
      </c>
      <c r="BA12" s="137">
        <f t="shared" si="1"/>
        <v>1004</v>
      </c>
      <c r="BB12" s="137">
        <f t="shared" si="1"/>
        <v>2319</v>
      </c>
      <c r="BC12" s="135">
        <f>IF(ISNUMBER(X12),X12," - ")</f>
        <v>421</v>
      </c>
      <c r="BD12" s="136">
        <f t="shared" si="2"/>
        <v>0.98721730580137657</v>
      </c>
      <c r="BE12" s="137">
        <f t="shared" si="3"/>
        <v>2.3097609561752988</v>
      </c>
      <c r="BF12" s="137">
        <f t="shared" si="4"/>
        <v>0.41932270916334663</v>
      </c>
      <c r="BG12" s="209">
        <f t="shared" si="5"/>
        <v>3.2968127490039842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2163</v>
      </c>
      <c r="J14" s="197">
        <f t="shared" si="7"/>
        <v>853</v>
      </c>
      <c r="K14" s="197">
        <f t="shared" si="7"/>
        <v>855</v>
      </c>
      <c r="L14" s="197">
        <f t="shared" si="7"/>
        <v>2161</v>
      </c>
      <c r="M14" s="197">
        <f t="shared" si="7"/>
        <v>210</v>
      </c>
      <c r="N14" s="197">
        <f t="shared" si="7"/>
        <v>366</v>
      </c>
      <c r="O14" s="197">
        <f t="shared" si="7"/>
        <v>418</v>
      </c>
      <c r="P14" s="197">
        <f t="shared" si="7"/>
        <v>194</v>
      </c>
      <c r="Q14" s="197">
        <f t="shared" si="7"/>
        <v>255</v>
      </c>
      <c r="R14" s="197">
        <f t="shared" si="7"/>
        <v>3393</v>
      </c>
      <c r="S14" s="197">
        <f t="shared" si="7"/>
        <v>2221</v>
      </c>
      <c r="T14" s="197">
        <f t="shared" si="7"/>
        <v>893</v>
      </c>
      <c r="U14" s="197">
        <f t="shared" si="7"/>
        <v>892</v>
      </c>
      <c r="V14" s="197">
        <f t="shared" si="7"/>
        <v>2220</v>
      </c>
      <c r="W14" s="197">
        <f t="shared" si="7"/>
        <v>213</v>
      </c>
      <c r="X14" s="197">
        <f t="shared" si="7"/>
        <v>421</v>
      </c>
      <c r="Y14" s="197">
        <f t="shared" si="7"/>
        <v>127</v>
      </c>
      <c r="Z14" s="197">
        <f t="shared" si="7"/>
        <v>109</v>
      </c>
      <c r="AA14" s="197">
        <f t="shared" si="7"/>
        <v>102</v>
      </c>
      <c r="AB14" s="197">
        <f t="shared" si="7"/>
        <v>134</v>
      </c>
      <c r="AC14" s="197">
        <f t="shared" si="7"/>
        <v>0</v>
      </c>
      <c r="AD14" s="197">
        <f t="shared" si="7"/>
        <v>0</v>
      </c>
      <c r="AE14" s="197">
        <f t="shared" si="7"/>
        <v>0</v>
      </c>
      <c r="AF14" s="197">
        <f>SUBTOTAL(9,AF9:AF13)</f>
        <v>0</v>
      </c>
      <c r="AG14" s="197">
        <f t="shared" ref="AG14:AT14" si="8">SUBTOTAL(9,AG8:AG13)</f>
        <v>94</v>
      </c>
      <c r="AH14" s="197">
        <f t="shared" si="8"/>
        <v>125</v>
      </c>
      <c r="AI14" s="197">
        <f t="shared" si="8"/>
        <v>112</v>
      </c>
      <c r="AJ14" s="197">
        <f t="shared" si="8"/>
        <v>122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2315</v>
      </c>
      <c r="AZ14" s="197">
        <f>SUBTOTAL(9,AZ8:AZ13)</f>
        <v>1018</v>
      </c>
      <c r="BA14" s="197">
        <f>SUBTOTAL(9,BA8:BA13)</f>
        <v>1004</v>
      </c>
      <c r="BB14" s="197">
        <f>SUBTOTAL(9,BB8:BB13)</f>
        <v>2342</v>
      </c>
      <c r="BC14" s="197">
        <f>SUBTOTAL(9,BC8:BC13)</f>
        <v>421</v>
      </c>
      <c r="BD14" s="219">
        <f>IF(ISNUMBER(BA14/AZ14),BA14/AZ14," - ")</f>
        <v>0.98624754420432215</v>
      </c>
      <c r="BE14" s="220">
        <f>IF(ISNUMBER(BB14/BA14),BB14/BA14, " - ")</f>
        <v>2.3326693227091635</v>
      </c>
      <c r="BF14" s="220">
        <f>IF(ISNUMBER(BC14/BA14),BC14/BA14, " - ")</f>
        <v>0.41932270916334663</v>
      </c>
      <c r="BG14" s="221">
        <f>IF(ISNUMBER((AY14+AZ14)/BA14),(AY14+AZ14)/BA14," - ")</f>
        <v>3.3197211155378485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750</v>
      </c>
      <c r="J17" s="196">
        <v>694</v>
      </c>
      <c r="K17" s="196">
        <v>707</v>
      </c>
      <c r="L17" s="196">
        <v>741</v>
      </c>
      <c r="M17" s="196">
        <v>121</v>
      </c>
      <c r="N17" s="196">
        <v>368</v>
      </c>
      <c r="O17" s="194">
        <v>4</v>
      </c>
      <c r="P17" s="196">
        <v>19</v>
      </c>
      <c r="Q17" s="196">
        <v>17</v>
      </c>
      <c r="R17" s="196">
        <v>106</v>
      </c>
      <c r="S17" s="196">
        <v>692</v>
      </c>
      <c r="T17" s="196">
        <v>589</v>
      </c>
      <c r="U17" s="196">
        <v>600</v>
      </c>
      <c r="V17" s="196">
        <v>675</v>
      </c>
      <c r="W17" s="196">
        <v>90</v>
      </c>
      <c r="X17" s="202">
        <v>369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692</v>
      </c>
      <c r="AZ17" s="137">
        <f t="shared" si="10"/>
        <v>589</v>
      </c>
      <c r="BA17" s="137">
        <f t="shared" si="10"/>
        <v>600</v>
      </c>
      <c r="BB17" s="137">
        <f t="shared" si="10"/>
        <v>675</v>
      </c>
      <c r="BC17" s="135">
        <f>IF(ISNUMBER(W17),W17," - ")</f>
        <v>90</v>
      </c>
      <c r="BD17" s="136">
        <f t="shared" ref="BD17:BD22" si="12">IF(ISNUMBER(BA17/AZ17),BA17/AZ17," - ")</f>
        <v>1.0186757215619695</v>
      </c>
      <c r="BE17" s="137">
        <f t="shared" ref="BE17:BE22" si="13">IF(ISNUMBER(BB17/BA17),BB17/BA17, " - ")</f>
        <v>1.125</v>
      </c>
      <c r="BF17" s="137">
        <f t="shared" ref="BF17:BF22" si="14">IF(ISNUMBER(BC17/BA17),BC17/BA17, " - ")</f>
        <v>0.15</v>
      </c>
      <c r="BG17" s="209">
        <f t="shared" si="11"/>
        <v>2.1349999999999998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v>
      </c>
      <c r="J18" s="196">
        <v>155</v>
      </c>
      <c r="K18" s="196">
        <v>165</v>
      </c>
      <c r="L18" s="196">
        <v>70</v>
      </c>
      <c r="M18" s="196">
        <v>26</v>
      </c>
      <c r="N18" s="196">
        <v>52</v>
      </c>
      <c r="O18" s="196">
        <v>0</v>
      </c>
      <c r="P18" s="196">
        <v>0</v>
      </c>
      <c r="Q18" s="196">
        <v>2</v>
      </c>
      <c r="R18" s="196">
        <v>1</v>
      </c>
      <c r="S18" s="196">
        <v>47</v>
      </c>
      <c r="T18" s="196">
        <v>77</v>
      </c>
      <c r="U18" s="196">
        <v>72</v>
      </c>
      <c r="V18" s="196">
        <v>56</v>
      </c>
      <c r="W18" s="196">
        <v>10</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77</v>
      </c>
      <c r="BA18" s="139">
        <f t="shared" si="15"/>
        <v>72</v>
      </c>
      <c r="BB18" s="139">
        <f t="shared" si="15"/>
        <v>56</v>
      </c>
      <c r="BC18" s="135">
        <f>IF(ISNUMBER(W18),W18," - ")</f>
        <v>10</v>
      </c>
      <c r="BD18" s="136">
        <f>IF(ISNUMBER(BA18/AZ18),BA18/AZ18," - ")</f>
        <v>0.93506493506493504</v>
      </c>
      <c r="BE18" s="137">
        <f>IF(ISNUMBER(BB18/BA18),BB18/BA18, " - ")</f>
        <v>0.77777777777777779</v>
      </c>
      <c r="BF18" s="137">
        <f>IF(ISNUMBER(BC18/BA18),BC18/BA18, " - ")</f>
        <v>0.1388888888888889</v>
      </c>
      <c r="BG18" s="209">
        <f>IF(ISNUMBER((AY18+AZ18)/BA18),(AY18+AZ18)/BA18," - ")</f>
        <v>1.7222222222222223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830</v>
      </c>
      <c r="J23" s="197">
        <f t="shared" si="21"/>
        <v>849</v>
      </c>
      <c r="K23" s="197">
        <f t="shared" si="21"/>
        <v>872</v>
      </c>
      <c r="L23" s="197">
        <f t="shared" si="21"/>
        <v>811</v>
      </c>
      <c r="M23" s="197">
        <f t="shared" si="21"/>
        <v>147</v>
      </c>
      <c r="N23" s="197">
        <f t="shared" si="21"/>
        <v>420</v>
      </c>
      <c r="O23" s="197">
        <f t="shared" si="21"/>
        <v>4</v>
      </c>
      <c r="P23" s="197">
        <f t="shared" si="21"/>
        <v>19</v>
      </c>
      <c r="Q23" s="197">
        <f t="shared" si="21"/>
        <v>19</v>
      </c>
      <c r="R23" s="197">
        <f t="shared" si="21"/>
        <v>107</v>
      </c>
      <c r="S23" s="197">
        <f t="shared" si="21"/>
        <v>739</v>
      </c>
      <c r="T23" s="197">
        <f t="shared" si="21"/>
        <v>666</v>
      </c>
      <c r="U23" s="197">
        <f t="shared" si="21"/>
        <v>672</v>
      </c>
      <c r="V23" s="197">
        <f t="shared" si="21"/>
        <v>731</v>
      </c>
      <c r="W23" s="197">
        <f t="shared" si="21"/>
        <v>100</v>
      </c>
      <c r="X23" s="197">
        <f t="shared" si="21"/>
        <v>417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739</v>
      </c>
      <c r="AZ23" s="197">
        <f>SUBTOTAL(9,AZ15:AZ22)</f>
        <v>666</v>
      </c>
      <c r="BA23" s="197">
        <f>SUBTOTAL(9,BA15:BA22)</f>
        <v>672</v>
      </c>
      <c r="BB23" s="197">
        <f>SUBTOTAL(9,BB15:BB22)</f>
        <v>731</v>
      </c>
      <c r="BC23" s="197">
        <f>SUBTOTAL(9,BC15:BC22)</f>
        <v>100</v>
      </c>
      <c r="BD23" s="219">
        <f>IF(ISNUMBER(BA23/AZ23),BA23/AZ23," - ")</f>
        <v>1.0090090090090089</v>
      </c>
      <c r="BE23" s="220">
        <f>IF(ISNUMBER(BB23/BA23),BB23/BA23, " - ")</f>
        <v>1.0877976190476191</v>
      </c>
      <c r="BF23" s="220">
        <f>IF(ISNUMBER(BC23/BA23),BC23/BA23, " - ")</f>
        <v>0.14880952380952381</v>
      </c>
      <c r="BG23" s="221">
        <f>IF(ISNUMBER((AY23+AZ23)/BA23),(AY23+AZ23)/BA23," - ")</f>
        <v>2.0907738095238093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2993</v>
      </c>
      <c r="J31" s="144">
        <f t="shared" si="36"/>
        <v>1702</v>
      </c>
      <c r="K31" s="144">
        <f t="shared" si="36"/>
        <v>1727</v>
      </c>
      <c r="L31" s="144">
        <f t="shared" si="36"/>
        <v>2972</v>
      </c>
      <c r="M31" s="144">
        <f t="shared" si="36"/>
        <v>357</v>
      </c>
      <c r="N31" s="144">
        <f t="shared" si="36"/>
        <v>786</v>
      </c>
      <c r="O31" s="144">
        <f t="shared" si="36"/>
        <v>422</v>
      </c>
      <c r="P31" s="144">
        <f t="shared" si="36"/>
        <v>213</v>
      </c>
      <c r="Q31" s="144">
        <f t="shared" si="36"/>
        <v>274</v>
      </c>
      <c r="R31" s="144">
        <f t="shared" si="36"/>
        <v>3500</v>
      </c>
      <c r="S31" s="144">
        <f t="shared" si="36"/>
        <v>2960</v>
      </c>
      <c r="T31" s="144">
        <f t="shared" si="36"/>
        <v>1559</v>
      </c>
      <c r="U31" s="144">
        <f t="shared" si="36"/>
        <v>1564</v>
      </c>
      <c r="V31" s="144">
        <f t="shared" si="36"/>
        <v>2951</v>
      </c>
      <c r="W31" s="144">
        <f t="shared" si="36"/>
        <v>313</v>
      </c>
      <c r="X31" s="144">
        <f t="shared" si="36"/>
        <v>838</v>
      </c>
      <c r="Y31" s="144">
        <f t="shared" si="36"/>
        <v>127</v>
      </c>
      <c r="Z31" s="144">
        <f t="shared" si="36"/>
        <v>109</v>
      </c>
      <c r="AA31" s="144">
        <f t="shared" si="36"/>
        <v>102</v>
      </c>
      <c r="AB31" s="144">
        <f t="shared" si="36"/>
        <v>134</v>
      </c>
      <c r="AC31" s="144">
        <f t="shared" si="36"/>
        <v>0</v>
      </c>
      <c r="AD31" s="144">
        <f t="shared" si="36"/>
        <v>0</v>
      </c>
      <c r="AE31" s="144">
        <f t="shared" si="36"/>
        <v>0</v>
      </c>
      <c r="AF31" s="144">
        <f t="shared" si="36"/>
        <v>0</v>
      </c>
      <c r="AG31" s="144">
        <f t="shared" si="36"/>
        <v>94</v>
      </c>
      <c r="AH31" s="144">
        <f t="shared" si="36"/>
        <v>125</v>
      </c>
      <c r="AI31" s="144">
        <f t="shared" si="36"/>
        <v>112</v>
      </c>
      <c r="AJ31" s="144">
        <f t="shared" si="36"/>
        <v>122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3054</v>
      </c>
      <c r="AZ31" s="144">
        <f>SUBTOTAL(9,AZ9:AZ30)</f>
        <v>1684</v>
      </c>
      <c r="BA31" s="144">
        <f>SUBTOTAL(9,BA9:BA30)</f>
        <v>1676</v>
      </c>
      <c r="BB31" s="144">
        <f>SUBTOTAL(9,BB9:BB30)</f>
        <v>3073</v>
      </c>
      <c r="BC31" s="145">
        <f>SUBTOTAL(9,BC9:BC30)</f>
        <v>521</v>
      </c>
      <c r="BD31" s="227">
        <f>IF(ISNUMBER(BA31/AZ31),BA31/AZ31," - ")</f>
        <v>0.99524940617577196</v>
      </c>
      <c r="BE31" s="224">
        <f>IF(ISNUMBER(BB31/BA31),BB31/BA31, " - ")</f>
        <v>1.8335322195704058</v>
      </c>
      <c r="BF31" s="224">
        <f>IF(ISNUMBER(BC31/BA31),BC31/BA31, " - ")</f>
        <v>0.31085918854415273</v>
      </c>
      <c r="BG31" s="145">
        <f>IF(ISNUMBER((AY31+AZ31)/BA31),(AY31+AZ31)/BA31," - ")</f>
        <v>2.8269689737470167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4OE4f3MsaPRtCD4k8QMZlvrVB42qcJjXxysoSJqQofUXYMolowYMOCV/px4ryqwd6lvheLfoHhb+iXCaXcjLQ==" saltValue="07P34TXlNgdupv7r0jvl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BGG9JzSdlN/+5a7RTs3eqzOKoEeTUbNelS6IKtS3QhhFJr8x+n6dYl44wk1FPIwq1QSV4dxp7+UXP633i+UbQ==" saltValue="saEAnBWy1H3kfosl3bRP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MASSAMAGRELL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109</v>
      </c>
      <c r="O12" s="549"/>
      <c r="P12" s="549"/>
      <c r="Q12" s="547">
        <f>IF(ISNUMBER(Datos!P12),Datos!P12,0)</f>
        <v>194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134</v>
      </c>
      <c r="AI12" s="549" t="str">
        <f>IF(ISNUMBER(Datos!CD12),Datos!CD12,"-")</f>
        <v>-</v>
      </c>
      <c r="AJ12" s="549" t="str">
        <f>IF(ISNUMBER(Datos!EN12),Datos!EN12," - ")</f>
        <v xml:space="preserve"> - </v>
      </c>
      <c r="AK12" s="549"/>
      <c r="AL12" s="550"/>
      <c r="AM12" s="766">
        <f>IF(ISNUMBER(Datos!R12),Datos!R12," - ")</f>
        <v>3391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210</v>
      </c>
      <c r="BD12" s="693">
        <f>IF(ISNUMBER(Datos!N12),Datos!N12," - ")</f>
        <v>366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0.9989561586638831</v>
      </c>
      <c r="BH12" s="764">
        <f>IF(ISNUMBER(((IF(J_V="SI",Datos!L12/Datos!K12,(Datos!L12+Datos!AB12)/(Datos!K12+Datos!AA12)))*11)/factor_trimestre),((IF(J_V="SI",Datos!L12/Datos!K12,(Datos!L12+Datos!AB12)/(Datos!K12+Datos!AA12)))*11)/factor_trimestre," - ")</f>
        <v>7.100313479623825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-1.7670915411355737E-2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109</v>
      </c>
      <c r="O14" s="1199">
        <f t="shared" si="1"/>
        <v>0</v>
      </c>
      <c r="P14" s="1199">
        <f t="shared" si="1"/>
        <v>0</v>
      </c>
      <c r="Q14" s="1198">
        <f t="shared" si="1"/>
        <v>194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255</v>
      </c>
      <c r="AD14" s="1198">
        <f t="shared" si="2"/>
        <v>0</v>
      </c>
      <c r="AE14" s="1198">
        <f t="shared" si="2"/>
        <v>0</v>
      </c>
      <c r="AF14" s="1198">
        <f t="shared" si="2"/>
        <v>30</v>
      </c>
      <c r="AG14" s="1198">
        <f t="shared" si="2"/>
        <v>0</v>
      </c>
      <c r="AH14" s="1198">
        <f t="shared" si="2"/>
        <v>134</v>
      </c>
      <c r="AI14" s="1198">
        <f t="shared" si="2"/>
        <v>0</v>
      </c>
      <c r="AJ14" s="1198">
        <f t="shared" si="2"/>
        <v>0</v>
      </c>
      <c r="AK14" s="1198">
        <f t="shared" si="2"/>
        <v>0</v>
      </c>
      <c r="AL14" s="1198">
        <f t="shared" si="2"/>
        <v>0</v>
      </c>
      <c r="AM14" s="1198">
        <f t="shared" si="2"/>
        <v>3393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210</v>
      </c>
      <c r="BD14" s="1198">
        <f t="shared" si="2"/>
        <v>366</v>
      </c>
      <c r="BE14" s="1198">
        <f t="shared" si="2"/>
        <v>0</v>
      </c>
      <c r="BF14" s="1198">
        <f t="shared" si="2"/>
        <v>0</v>
      </c>
      <c r="BG14" s="1198">
        <f>IF(ISNUMBER(Datos!K14/Datos!J14),Datos!K14/Datos!J14," - ")</f>
        <v>1.0023446658851114</v>
      </c>
      <c r="BH14" s="1202">
        <f>IF(ISNUMBER(((Datos!L14/Datos!K14)*11)/factor_trimestre),((Datos!L14/Datos!K14)*11)/factor_trimestre," - ")</f>
        <v>7.5824561403508781</v>
      </c>
      <c r="BI14" s="1198">
        <f>IF(ISNUMBER('Resol  Asuntos'!D14/NºAsuntos!G14),'Resol  Asuntos'!D14/NºAsuntos!G14," - ")</f>
        <v>0.21943573667711599</v>
      </c>
      <c r="BJ14" s="1198" t="str">
        <f>IF(ISNUMBER(Datos!CI14/Datos!CJ14),Datos!CI14/Datos!CJ14," - ")</f>
        <v xml:space="preserve"> - </v>
      </c>
      <c r="BK14" s="1198">
        <f>SUBTOTAL(9,BK8:BK13)</f>
        <v>0</v>
      </c>
      <c r="BL14" s="1198">
        <f>IF(ISNUMBER((I14-AB14+L14)/(F14)),(I14-AB14+L14)/(F14)," - ")</f>
        <v>0</v>
      </c>
      <c r="BM14" s="1203">
        <f>SUBTOTAL(9,BM9:BM13)</f>
        <v>-1.7670915411355737E-2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754</v>
      </c>
      <c r="G17" s="743">
        <f>IF(ISNUMBER(IF(D_I="SI",Datos!I17,Datos!I17+Datos!AC17)),IF(D_I="SI",Datos!I17,Datos!I17+Datos!AC17)," - ")</f>
        <v>750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707</v>
      </c>
      <c r="AC17" s="240">
        <f>IF(ISNUMBER(Datos!Q17),Datos!Q17," - ")</f>
        <v>17</v>
      </c>
      <c r="AD17" s="374"/>
      <c r="AE17" s="562"/>
      <c r="AF17" s="741">
        <f>IF(ISNUMBER(IF(D_I="SI",Datos!L17,Datos!L17+Datos!AF17)),IF(D_I="SI",Datos!L17,Datos!L17+Datos!AF17)," - ")</f>
        <v>741</v>
      </c>
      <c r="AG17" s="374"/>
      <c r="AH17" s="374"/>
      <c r="AI17" s="374"/>
      <c r="AJ17" s="549"/>
      <c r="AK17" s="374"/>
      <c r="AL17" s="545"/>
      <c r="AM17" s="375">
        <f>IF(ISNUMBER(Datos!R17),Datos!R17," - ")</f>
        <v>106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121</v>
      </c>
      <c r="BD17" s="243">
        <f>IF(ISNUMBER(Datos!N17),Datos!N17," - ")</f>
        <v>368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1.0187319884726225</v>
      </c>
      <c r="BH17" s="764">
        <f>IF(ISNUMBER(((IF(D_I="SI",Datos!L17/Datos!K17,(Datos!L17+Datos!AF17)/(Datos!K17+Datos!AE17)))*11)/factor_trimestre),((IF(D_I="SI",Datos!L17/Datos!K17,(Datos!L17+Datos!AF17)/(Datos!K17+Datos!AE17)))*11)/factor_trimestre," - ")</f>
        <v>3.1442715700141446</v>
      </c>
      <c r="BI17" s="266">
        <f>IF(ISNUMBER('Resol  Asuntos'!D17/NºAsuntos!G17),'Resol  Asuntos'!D17/NºAsuntos!G17," - ")</f>
        <v>0.17114568599717114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165</v>
      </c>
      <c r="AC18" s="547">
        <f>IF(ISNUMBER(Datos!Q18),Datos!Q18," - ")</f>
        <v>2</v>
      </c>
      <c r="AD18" s="549"/>
      <c r="AE18" s="562"/>
      <c r="AF18" s="551">
        <f>IF(ISNUMBER(Datos!L18),Datos!L18,"-")</f>
        <v>70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1.064516129032258</v>
      </c>
      <c r="BH18" s="764">
        <f>IF(ISNUMBER(((IF(D_I="SI",Datos!L18/Datos!K18,(Datos!L18+Datos!AF18)/(Datos!K18+Datos!AE18)))*11)/factor_trimestre),((IF(D_I="SI",Datos!L18/Datos!K18,(Datos!L18+Datos!AF18)/(Datos!K18+Datos!AE18)))*11)/factor_trimestre," - ")</f>
        <v>1.2727272727272729</v>
      </c>
      <c r="BI18" s="763">
        <f>IF(ISNUMBER('Resol  Asuntos'!D18/NºAsuntos!G18),'Resol  Asuntos'!D18/NºAsuntos!G18," - ")</f>
        <v>0.15757575757575756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754</v>
      </c>
      <c r="G23" s="1197">
        <f>SUBTOTAL(9,G16:G22)</f>
        <v>830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872</v>
      </c>
      <c r="AC23" s="1198">
        <f t="shared" si="5"/>
        <v>19</v>
      </c>
      <c r="AD23" s="1198">
        <f t="shared" si="5"/>
        <v>0</v>
      </c>
      <c r="AE23" s="1198">
        <f t="shared" si="5"/>
        <v>0</v>
      </c>
      <c r="AF23" s="1198">
        <f t="shared" si="5"/>
        <v>811</v>
      </c>
      <c r="AG23" s="1198">
        <f t="shared" si="5"/>
        <v>0</v>
      </c>
      <c r="AH23" s="1198">
        <f t="shared" si="5"/>
        <v>0</v>
      </c>
      <c r="AI23" s="1198">
        <f t="shared" si="5"/>
        <v>0</v>
      </c>
      <c r="AJ23" s="1198">
        <f t="shared" si="5"/>
        <v>0</v>
      </c>
      <c r="AK23" s="1198">
        <f t="shared" si="5"/>
        <v>0</v>
      </c>
      <c r="AL23" s="1198">
        <f t="shared" si="5"/>
        <v>0</v>
      </c>
      <c r="AM23" s="1198">
        <f t="shared" si="5"/>
        <v>107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147</v>
      </c>
      <c r="BD23" s="1198">
        <f t="shared" si="5"/>
        <v>420</v>
      </c>
      <c r="BE23" s="1198">
        <f t="shared" si="5"/>
        <v>0</v>
      </c>
      <c r="BF23" s="1198">
        <f t="shared" si="5"/>
        <v>0</v>
      </c>
      <c r="BG23" s="1198">
        <f>IF(ISNUMBER(Datos!K23/Datos!J23),Datos!K23/Datos!J23," - ")</f>
        <v>1.0270906949352179</v>
      </c>
      <c r="BH23" s="1202">
        <f>IF(ISNUMBER(((Datos!L23/Datos!K23)*11)/factor_trimestre),((Datos!L23/Datos!K23)*11)/factor_trimestre," - ")</f>
        <v>2.790137614678899</v>
      </c>
      <c r="BI23" s="1198">
        <f>SUBTOTAL(9,BI16:BI22)</f>
        <v>0.32872144357292871</v>
      </c>
      <c r="BJ23" s="1198">
        <f>SUBTOTAL(9,BJ16:BJ22)</f>
        <v>0</v>
      </c>
      <c r="BK23" s="1198">
        <f>SUBTOTAL(9,BK16:BK22)</f>
        <v>0</v>
      </c>
      <c r="BL23" s="1198">
        <f>IF(ISNUMBER((I23-AB23+L23)/(F23)),(I23-AB23+L23)/(F23)," - ")</f>
        <v>-1.1564986737400531</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780</v>
      </c>
      <c r="G31" s="1117">
        <f t="shared" si="18"/>
        <v>856</v>
      </c>
      <c r="H31" s="1119">
        <f t="shared" si="18"/>
        <v>0</v>
      </c>
      <c r="I31" s="1117">
        <f t="shared" si="18"/>
        <v>0</v>
      </c>
      <c r="J31" s="1119">
        <f t="shared" si="18"/>
        <v>0</v>
      </c>
      <c r="K31" s="1119">
        <f t="shared" si="18"/>
        <v>0</v>
      </c>
      <c r="L31" s="1180">
        <f t="shared" si="18"/>
        <v>0</v>
      </c>
      <c r="M31" s="1180">
        <f t="shared" si="18"/>
        <v>0</v>
      </c>
      <c r="N31" s="1180">
        <f t="shared" si="18"/>
        <v>109</v>
      </c>
      <c r="O31" s="1180">
        <f t="shared" si="18"/>
        <v>0</v>
      </c>
      <c r="P31" s="1180">
        <f t="shared" si="18"/>
        <v>0</v>
      </c>
      <c r="Q31" s="1119">
        <f t="shared" si="18"/>
        <v>213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872</v>
      </c>
      <c r="AC31" s="1118">
        <f t="shared" si="19"/>
        <v>274</v>
      </c>
      <c r="AD31" s="1118">
        <f t="shared" si="19"/>
        <v>0</v>
      </c>
      <c r="AE31" s="1118">
        <f t="shared" si="19"/>
        <v>0</v>
      </c>
      <c r="AF31" s="1125">
        <f t="shared" si="19"/>
        <v>841</v>
      </c>
      <c r="AG31" s="1125">
        <f t="shared" si="19"/>
        <v>0</v>
      </c>
      <c r="AH31" s="1125">
        <f t="shared" si="19"/>
        <v>134</v>
      </c>
      <c r="AI31" s="1125">
        <f t="shared" si="19"/>
        <v>0</v>
      </c>
      <c r="AJ31" s="1118">
        <f t="shared" si="19"/>
        <v>0</v>
      </c>
      <c r="AK31" s="1125">
        <f t="shared" si="19"/>
        <v>0</v>
      </c>
      <c r="AL31" s="1125">
        <f t="shared" si="19"/>
        <v>0</v>
      </c>
      <c r="AM31" s="1125">
        <f t="shared" si="19"/>
        <v>3500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357</v>
      </c>
      <c r="BD31" s="1117">
        <f t="shared" si="19"/>
        <v>786</v>
      </c>
      <c r="BE31" s="1117">
        <f t="shared" si="19"/>
        <v>0</v>
      </c>
      <c r="BF31" s="1127">
        <f t="shared" si="19"/>
        <v>0</v>
      </c>
      <c r="BG31" s="1223">
        <f>IF(ISNUMBER(Datos!K31/Datos!J31),Datos!K31/Datos!J31," - ")</f>
        <v>1.0146886016451233</v>
      </c>
      <c r="BH31" s="1223">
        <f>IF(ISNUMBER(((Datos!L31/Datos!K31)*11)/factor_trimestre),((Datos!L31/Datos!K31)*11)/factor_trimestre," - ")</f>
        <v>5.1627099015634048</v>
      </c>
      <c r="BI31" s="1103">
        <f>IF(ISNUMBER(Datos!J31/Datos!I31),Datos!J31/Datos!I31," - ")</f>
        <v>0.56866020715001675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-1.117948717948718</v>
      </c>
      <c r="BM31" s="1188">
        <f>IF(ISNUMBER((Datos!P31-Datos!Q31+R31)/(Datos!R31-Datos!P31+Datos!Q31-R31)),(Datos!P31-Datos!Q31+R31)/(Datos!R31-Datos!P31+Datos!Q31-R31)," - ")</f>
        <v>-1.7130019657399607E-2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382.82737624156397</v>
      </c>
      <c r="G33" s="674">
        <f>IF(ISNUMBER(STDEV(G8:G30)),STDEV(G8:G30),"-")</f>
        <v>374.26499397390307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377.03953310469916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93.657049158847926</v>
      </c>
      <c r="BD33" s="673"/>
      <c r="BE33" s="673">
        <f>IF(ISNUMBER(STDEV(BE8:BE30)),STDEV(BE8:BE30),"-")</f>
        <v>0</v>
      </c>
      <c r="BF33" s="678">
        <f>IF(ISNUMBER(STDEV(BF8:BF30)),STDEV(BF8:BF30),"-")</f>
        <v>0</v>
      </c>
      <c r="BG33" s="1052">
        <f>IF(ISNUMBER(STDEV(BG8:BG30)),STDEV(BG8:BG30),"-")</f>
        <v>0.41802464568911579</v>
      </c>
      <c r="BH33" s="1058">
        <f>IF(ISNUMBER(STDEV(BH8:BH30)),STDEV(BH8:BH30),"-")</f>
        <v>2.8002518341850302</v>
      </c>
      <c r="BI33" s="273">
        <f>IF(ISNUMBER(STDEV(BI8:BI30)),STDEV(BI8:BI30),"-")</f>
        <v>7.7678321680498624E-2</v>
      </c>
      <c r="BJ33" s="244" t="str">
        <f>IF(ISNUMBER(BL33/BM33),BL33/BM33," - ")</f>
        <v xml:space="preserve"> - </v>
      </c>
      <c r="BK33" s="709"/>
      <c r="BL33" s="681">
        <f>IF(ISNUMBER(STDEV(BL8:BL30)),STDEV(BL8:BL30),"-")</f>
        <v>0.81776805463484015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L8qMMHzsshsbVEBS+uYHKTquRiIUfonZDmK6HGSsy5xJU8KdiTVIz4qb4alwXDhmL/Exc6zS4To0Mvex74/OQ==" saltValue="U8JxUOtqf3D8mP8UlXe0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MASSAMAGRELL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255</v>
      </c>
      <c r="AA12" s="551" t="str">
        <f>IF(ISNUMBER(IF(J_V="SI",Datos!L12,Datos!L12+Datos!AB12)-IF(Monitorios="SI",Datos!CD12,0)),
                          IF(J_V="SI",Datos!L12,Datos!L12+Datos!AB12)-IF(Monitorios="SI",Datos!CD12,0),
                          " - ")</f>
        <v xml:space="preserve"> - </v>
      </c>
      <c r="AB12" s="549"/>
      <c r="AC12" s="549"/>
      <c r="AD12" s="563"/>
      <c r="AE12" s="563">
        <f>IF(ISNUMBER(Datos!R12),Datos!R12," - ")</f>
        <v>3391</v>
      </c>
      <c r="AF12" s="693" t="str">
        <f>IF(ISNUMBER(Datos!BV12),Datos!BV12," - ")</f>
        <v xml:space="preserve"> - </v>
      </c>
      <c r="AG12" s="552" t="str">
        <f>IF(ISNUMBER(Datos!DV12),Datos!DV12," - ")</f>
        <v xml:space="preserve"> - </v>
      </c>
      <c r="AH12" s="553"/>
      <c r="AI12" s="554"/>
      <c r="AJ12" s="552">
        <f>IF(ISNUMBER(Datos!M12),Datos!M12," - ")</f>
        <v>210</v>
      </c>
      <c r="AK12" s="693">
        <f>IF(ISNUMBER(Datos!N12),Datos!N12," - ")</f>
        <v>366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7.100313479623825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-1.7670915411355737E-2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255</v>
      </c>
      <c r="AA14" s="1199">
        <f t="shared" si="3"/>
        <v>30</v>
      </c>
      <c r="AB14" s="1199">
        <f t="shared" si="3"/>
        <v>0</v>
      </c>
      <c r="AC14" s="1199">
        <f t="shared" si="3"/>
        <v>0</v>
      </c>
      <c r="AD14" s="1199">
        <f t="shared" si="3"/>
        <v>0</v>
      </c>
      <c r="AE14" s="1199">
        <f t="shared" si="3"/>
        <v>3393</v>
      </c>
      <c r="AF14" s="1211">
        <f t="shared" si="3"/>
        <v>0</v>
      </c>
      <c r="AG14" s="1211">
        <f t="shared" si="3"/>
        <v>0</v>
      </c>
      <c r="AH14" s="1211">
        <f t="shared" si="3"/>
        <v>0</v>
      </c>
      <c r="AI14" s="1211">
        <f t="shared" si="3"/>
        <v>0</v>
      </c>
      <c r="AJ14" s="1211">
        <f t="shared" si="3"/>
        <v>210</v>
      </c>
      <c r="AK14" s="1211">
        <f t="shared" si="3"/>
        <v>366</v>
      </c>
      <c r="AL14" s="1211">
        <f t="shared" si="3"/>
        <v>0</v>
      </c>
      <c r="AM14" s="1211">
        <f t="shared" si="3"/>
        <v>0</v>
      </c>
      <c r="AN14" s="1211">
        <f t="shared" si="3"/>
        <v>0</v>
      </c>
      <c r="AO14" s="1203">
        <f>IF(ISNUMBER(((NºAsuntos!I14/NºAsuntos!G14)*11)/factor_trimestre),((NºAsuntos!I14/NºAsuntos!G14)*11)/factor_trimestre," - ")</f>
        <v>7.1943573667711602</v>
      </c>
      <c r="AP14" s="1213" t="str">
        <f>IF(ISNUMBER(Datos!CI14/Datos!CJ14),Datos!CI14/Datos!CJ14," - ")</f>
        <v xml:space="preserve"> - </v>
      </c>
      <c r="AQ14" s="1236">
        <f t="shared" ref="AQ14:AV14" si="4">SUBTOTAL(9,AQ9:AQ13)</f>
        <v>0</v>
      </c>
      <c r="AR14" s="1236">
        <f t="shared" si="4"/>
        <v>-1.7670915411355737E-2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754</v>
      </c>
      <c r="G17" s="552">
        <f>IF(ISNUMBER(IF(D_I="SI",Datos!I17,Datos!I17+Datos!AC17)),IF(D_I="SI",Datos!I17,Datos!I17+Datos!AC17)," - ")</f>
        <v>750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707</v>
      </c>
      <c r="Z17" s="805">
        <f>IF(ISNUMBER(Datos!Q17),Datos!Q17," - ")</f>
        <v>17</v>
      </c>
      <c r="AA17" s="551">
        <f>IF(ISNUMBER(IF(D_I="SI",Datos!L17,Datos!L17+Datos!AF17)),IF(D_I="SI",Datos!L17,Datos!L17+Datos!AF17)," - ")</f>
        <v>741</v>
      </c>
      <c r="AB17" s="549"/>
      <c r="AC17" s="549"/>
      <c r="AD17" s="563"/>
      <c r="AE17" s="563">
        <f>IF(ISNUMBER(Datos!R17),Datos!R17," - ")</f>
        <v>106</v>
      </c>
      <c r="AF17" s="693" t="str">
        <f>IF(ISNUMBER(Datos!BV17),Datos!BV17," - ")</f>
        <v xml:space="preserve"> - </v>
      </c>
      <c r="AG17" s="552"/>
      <c r="AH17" s="553"/>
      <c r="AI17" s="554"/>
      <c r="AJ17" s="552">
        <f>IF(ISNUMBER(Datos!M17),Datos!M17," - ")</f>
        <v>121</v>
      </c>
      <c r="AK17" s="693">
        <f>IF(ISNUMBER(Datos!N17),Datos!N17," - ")</f>
        <v>368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3.1442715700141446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165</v>
      </c>
      <c r="Z18" s="805">
        <f>IF(ISNUMBER(Datos!Q18),Datos!Q18," - ")</f>
        <v>2</v>
      </c>
      <c r="AA18" s="551">
        <f>IF(ISNUMBER(Datos!L18),Datos!L18,"-")</f>
        <v>70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26</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1.2727272727272729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754</v>
      </c>
      <c r="G23" s="1197">
        <f>SUBTOTAL(9,G16:G22)</f>
        <v>830</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872</v>
      </c>
      <c r="Z23" s="1240">
        <f t="shared" si="6"/>
        <v>19</v>
      </c>
      <c r="AA23" s="1240">
        <f t="shared" si="6"/>
        <v>811</v>
      </c>
      <c r="AB23" s="1240">
        <f t="shared" si="6"/>
        <v>0</v>
      </c>
      <c r="AC23" s="1240">
        <f t="shared" si="6"/>
        <v>0</v>
      </c>
      <c r="AD23" s="1240">
        <f t="shared" si="6"/>
        <v>0</v>
      </c>
      <c r="AE23" s="1240">
        <f t="shared" si="6"/>
        <v>107</v>
      </c>
      <c r="AF23" s="1240">
        <f t="shared" si="6"/>
        <v>0</v>
      </c>
      <c r="AG23" s="1240">
        <f t="shared" si="6"/>
        <v>0</v>
      </c>
      <c r="AH23" s="1240">
        <f t="shared" si="6"/>
        <v>0</v>
      </c>
      <c r="AI23" s="1240">
        <f t="shared" si="6"/>
        <v>0</v>
      </c>
      <c r="AJ23" s="1240">
        <f t="shared" si="6"/>
        <v>147</v>
      </c>
      <c r="AK23" s="1240">
        <f t="shared" si="6"/>
        <v>420</v>
      </c>
      <c r="AL23" s="1240">
        <f t="shared" si="6"/>
        <v>0</v>
      </c>
      <c r="AM23" s="1240">
        <f t="shared" si="6"/>
        <v>0</v>
      </c>
      <c r="AN23" s="1240">
        <f t="shared" si="6"/>
        <v>0</v>
      </c>
      <c r="AO23" s="1242">
        <f>IF(ISNUMBER(((NºAsuntos!I23/NºAsuntos!G23)*11)/factor_trimestre),((NºAsuntos!I23/NºAsuntos!G23)*11)/factor_trimestre," - ")</f>
        <v>2.790137614678899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780</v>
      </c>
      <c r="G31" s="1117">
        <f t="shared" si="12"/>
        <v>856</v>
      </c>
      <c r="H31" s="1118">
        <f t="shared" si="12"/>
        <v>0</v>
      </c>
      <c r="I31" s="1117">
        <f t="shared" si="12"/>
        <v>0</v>
      </c>
      <c r="J31" s="1119">
        <f t="shared" si="12"/>
        <v>0</v>
      </c>
      <c r="K31" s="1117">
        <f t="shared" si="12"/>
        <v>0</v>
      </c>
      <c r="L31" s="1120">
        <f t="shared" si="12"/>
        <v>0</v>
      </c>
      <c r="M31" s="1117">
        <f t="shared" si="12"/>
        <v>0</v>
      </c>
      <c r="N31" s="1118">
        <f t="shared" si="12"/>
        <v>213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872</v>
      </c>
      <c r="Z31" s="1124">
        <f t="shared" si="13"/>
        <v>274</v>
      </c>
      <c r="AA31" s="1125">
        <f t="shared" si="13"/>
        <v>841</v>
      </c>
      <c r="AB31" s="1125">
        <f t="shared" si="13"/>
        <v>0</v>
      </c>
      <c r="AC31" s="1125">
        <f t="shared" si="13"/>
        <v>0</v>
      </c>
      <c r="AD31" s="1126">
        <f t="shared" si="13"/>
        <v>0</v>
      </c>
      <c r="AE31" s="1126">
        <f t="shared" si="13"/>
        <v>3500</v>
      </c>
      <c r="AF31" s="1127">
        <f t="shared" si="13"/>
        <v>0</v>
      </c>
      <c r="AG31" s="1128">
        <f t="shared" si="13"/>
        <v>0</v>
      </c>
      <c r="AH31" s="1129">
        <f t="shared" si="13"/>
        <v>0</v>
      </c>
      <c r="AI31" s="1127">
        <f t="shared" si="13"/>
        <v>0</v>
      </c>
      <c r="AJ31" s="1117">
        <f t="shared" si="13"/>
        <v>357</v>
      </c>
      <c r="AK31" s="1117">
        <f t="shared" si="13"/>
        <v>786</v>
      </c>
      <c r="AL31" s="1117">
        <f t="shared" si="13"/>
        <v>0</v>
      </c>
      <c r="AM31" s="1130">
        <f t="shared" si="13"/>
        <v>0</v>
      </c>
      <c r="AN31" s="1120">
        <f>IF(ISNUMBER(Datos!K31/Datos!J31),Datos!K31/Datos!J31," - ")</f>
        <v>1.0146886016451233</v>
      </c>
      <c r="AO31" s="1120">
        <f>IF(ISNUMBER(FIND("06",Criterios!A8,1)),(IF(ISNUMBER(((Datos!R31/Datos!Q31)*11)/factor_trimestre),((Datos!R31/Datos!Q31)*11)/factor_trimestre," - ")),(IF(ISNUMBER(((Datos!L31/Datos!K31)*11)/factor_trimestre),((Datos!L31/Datos!K31)*11)/factor_trimestre," - ")))</f>
        <v>5.1627099015634048</v>
      </c>
      <c r="AP31" s="1131" t="str">
        <f>IF(ISNUMBER(Datos!CI31/Datos!CJ31),Datos!CI31/Datos!CJ31," - ")</f>
        <v xml:space="preserve"> - </v>
      </c>
      <c r="AQ31" s="1131">
        <f>IF(OR(ISNUMBER(FIND("01",Criterios!A8,1)),ISNUMBER(FIND("02",Criterios!A8,1)),ISNUMBER(FIND("03",Criterios!A8,1)),ISNUMBER(FIND("04",Criterios!A8,1))),(J31-Y31+K31)/(F31-K31),(I31-Y31+K31)/(F31-K31))</f>
        <v>-1.117948717948718</v>
      </c>
      <c r="AR31" s="1131">
        <f>IF(ISNUMBER((Datos!P31-Datos!Q31+O31)/(Datos!R31-Datos!P31+Datos!Q31-O31)),(Datos!P31-Datos!Q31+O31)/(Datos!R31-Datos!P31+Datos!Q31-O31)," - ")</f>
        <v>-1.7130019657399607E-2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382.82737624156397</v>
      </c>
      <c r="G33" s="674">
        <f>IF(ISNUMBER(STDEV(G8:G30)),STDEV(G8:G30),"-")</f>
        <v>374.26499397390307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93.657049158847926</v>
      </c>
      <c r="AK33" s="276"/>
      <c r="AL33" s="276">
        <f>IF(ISNUMBER(STDEV(AL8:AL30)),STDEV(AL8:AL30),"-")</f>
        <v>0</v>
      </c>
      <c r="AM33" s="278">
        <f>IF(ISNUMBER(STDEV(AM8:AM30)),STDEV(AM8:AM30),"-")</f>
        <v>0</v>
      </c>
      <c r="AN33" s="660">
        <f>IF(ISNUMBER(STDEV(AN8:AN30)),STDEV(AN8:AN30),"-")</f>
        <v>0</v>
      </c>
      <c r="AO33" s="661">
        <f>IF(ISNUMBER(STDEV(AO8:AO30)),STDEV(AO8:AO30),"-")</f>
        <v>2.6925281934109018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FQ/Ct4Cxfr0izTUgeRESYyUtMgHp0BfH0dFo6ZQWx8BDsBoDtuxr91OFXUGuAWf6c2bFQ0nuDMuve5t9rdTqA==" saltValue="O731Bgx+U213tJ46Pb37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9YfShXDT5M4kY7m9p8MSxrML3S6jQGNrfLBuCVegppthjhXhP80L7tLK1TrmDfeGVXsApxu2H96gimm8KBhFA==" saltValue="+VS0Qjlje6hKmU8IcfhB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uPhjjn/nHSpGEUy8x+8M+BF8gBxKgJAaJQGZriq6+mkByaEamXIVA9044D00VDHz6+ksPotHX/p0+d6zQcMkQ==" saltValue="zEid0GSnMGAkbrLBhFcW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MASSAMAGRELL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0.21943573667711599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0.15516449743905431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fqjK03xAxe+FeG5GNeqvP/HxuR91qYtnba8YJbkKT1tPN0LEI0YmXVTSxyXb5S2draktz3/HOeKr/XlG0EPOA==" saltValue="c7HL4uLJS47tJ3ZvPqFU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DE1OOeUoUCQsdfSTSXm1+icqwJmEuU2eu+TxV+aqEXDVS7Nse9CImP2Y4/4ucccxI8mmMBV9NdkT/sHym6Xg==" saltValue="mKNarG/HCKfq/7bYQ8qQ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MASSAMAGRELL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4</v>
      </c>
      <c r="F10" s="452">
        <f>IF(ISNUMBER(E10/B10),E10/B10," - ")</f>
        <v>4</v>
      </c>
      <c r="G10" s="451">
        <f>IF(ISNUMBER(Datos!K10),Datos!K10," - ")</f>
        <v>0</v>
      </c>
      <c r="H10" s="452">
        <f>IF(ISNUMBER(G10/B10),G10/B10," - ")</f>
        <v>0</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2264</v>
      </c>
      <c r="D12" s="452">
        <f>IF(ISNUMBER(C12/Datos!BH12),C12/Datos!BH12," - ")</f>
        <v>566</v>
      </c>
      <c r="E12" s="451">
        <f>IF(ISNUMBER(IF(J_V="SI",Datos!J12,Datos!J12+Datos!Z12)),IF(J_V="SI",Datos!J12,Datos!J12+Datos!Z12)," - ")</f>
        <v>958</v>
      </c>
      <c r="F12" s="452">
        <f>IF(ISNUMBER(E12/B12),E12/B12," - ")</f>
        <v>239.5</v>
      </c>
      <c r="G12" s="451">
        <f>IF(ISNUMBER(IF(J_V="SI",Datos!K12,Datos!K12+Datos!AA12)),IF(J_V="SI",Datos!K12,Datos!K12+Datos!AA12)," - ")</f>
        <v>957</v>
      </c>
      <c r="H12" s="452">
        <f>IF(ISNUMBER(G12/B12),G12/B12," - ")</f>
        <v>239.25</v>
      </c>
      <c r="I12" s="451">
        <f>IF(ISNUMBER(IF(J_V="SI",Datos!L12,Datos!L12+Datos!AB12)),IF(J_V="SI",Datos!L12,Datos!L12+Datos!AB12)," - ")</f>
        <v>2265</v>
      </c>
      <c r="J12" s="452">
        <f>IF(ISNUMBER(I12/B12),I12/B12," - ")</f>
        <v>566.25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2290</v>
      </c>
      <c r="D14" s="1147" t="str">
        <f>IF(ISNUMBER(C14/Datos!BI14),C14/Datos!BI14," - ")</f>
        <v xml:space="preserve"> - </v>
      </c>
      <c r="E14" s="1146">
        <f>SUBTOTAL(9,E8:E13)</f>
        <v>962</v>
      </c>
      <c r="F14" s="1147">
        <f>IF(ISNUMBER(E14/B14),E14/B14," - ")</f>
        <v>240.5</v>
      </c>
      <c r="G14" s="1146">
        <f>SUBTOTAL(9,G8:G13)</f>
        <v>957</v>
      </c>
      <c r="H14" s="1147">
        <f>IF(ISNUMBER(G14/B14),G14/B14," - ")</f>
        <v>239.25</v>
      </c>
      <c r="I14" s="1146">
        <f>SUBTOTAL(9,I8:I13)</f>
        <v>2295</v>
      </c>
      <c r="J14" s="1147">
        <f>IF(ISNUMBER(I14/B14),I14/B14," - ")</f>
        <v>573.75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750</v>
      </c>
      <c r="D17" s="452">
        <f>IF(ISNUMBER(C17/Datos!BH17),C17/Datos!BH17," - ")</f>
        <v>187.5</v>
      </c>
      <c r="E17" s="451">
        <f>IF(ISNUMBER(IF(D_I="SI",Datos!J17,Datos!J17+Datos!AD17)),IF(D_I="SI",Datos!J17,Datos!J17+Datos!AD17)," - ")</f>
        <v>694</v>
      </c>
      <c r="F17" s="452">
        <f>IF(ISNUMBER(E17/B17),E17/B17," - ")</f>
        <v>173.5</v>
      </c>
      <c r="G17" s="451">
        <f>IF(ISNUMBER(IF(D_I="SI",Datos!K17,Datos!K17+Datos!AE17)),IF(D_I="SI",Datos!K17,Datos!K17+Datos!AE17)," - ")</f>
        <v>707</v>
      </c>
      <c r="H17" s="452">
        <f>IF(ISNUMBER(G17/B17),G17/B17," - ")</f>
        <v>176.75</v>
      </c>
      <c r="I17" s="451">
        <f>IF(ISNUMBER(IF(D_I="SI",Datos!L17,Datos!L17+Datos!AF17)),IF(D_I="SI",Datos!L17,Datos!L17+Datos!AF17)," - ")</f>
        <v>741</v>
      </c>
      <c r="J17" s="452">
        <f>IF(ISNUMBER(I17/B17),I17/B17," - ")</f>
        <v>185.25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80</v>
      </c>
      <c r="D18" s="452">
        <f>IF(ISNUMBER(C18/Datos!BH18),C18/Datos!BH18," - ")</f>
        <v>80</v>
      </c>
      <c r="E18" s="451">
        <f>IF(ISNUMBER(IF(D_I="SI",Datos!J18,Datos!J18+Datos!AD18)),IF(D_I="SI",Datos!J18,Datos!J18+Datos!AD18)," - ")</f>
        <v>155</v>
      </c>
      <c r="F18" s="452">
        <f>IF(ISNUMBER(E18/B18),E18/B18," - ")</f>
        <v>155</v>
      </c>
      <c r="G18" s="451">
        <f>IF(ISNUMBER(IF(D_I="SI",Datos!K18,Datos!K18+Datos!AE18)),IF(D_I="SI",Datos!K18,Datos!K18+Datos!AE18)," - ")</f>
        <v>165</v>
      </c>
      <c r="H18" s="452">
        <f>IF(ISNUMBER(G18/B18),G18/B18," - ")</f>
        <v>165</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830</v>
      </c>
      <c r="D23" s="1147" t="str">
        <f>IF(ISNUMBER(C23/Datos!BI23),C23/Datos!BI23," - ")</f>
        <v xml:space="preserve"> - </v>
      </c>
      <c r="E23" s="1146">
        <f>SUBTOTAL(9,E15:E22)</f>
        <v>849</v>
      </c>
      <c r="F23" s="1147">
        <f>IF(ISNUMBER(E23/B23),E23/B23," - ")</f>
        <v>212.25</v>
      </c>
      <c r="G23" s="1146">
        <f>SUBTOTAL(9,G15:G22)</f>
        <v>872</v>
      </c>
      <c r="H23" s="1147">
        <f>IF(ISNUMBER(G23/B23),G23/B23," - ")</f>
        <v>218</v>
      </c>
      <c r="I23" s="1146">
        <f>SUBTOTAL(9,I15:I22)</f>
        <v>811</v>
      </c>
      <c r="J23" s="1147">
        <f>IF(ISNUMBER(I23/B23),I23/B23," - ")</f>
        <v>202.75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3120</v>
      </c>
      <c r="D31" s="1085" t="str">
        <f>IF(ISNUMBER(C31/Datos!BI31),C31/Datos!BI31," - ")</f>
        <v xml:space="preserve"> - </v>
      </c>
      <c r="E31" s="1084">
        <f>SUBTOTAL(9,E9:E30)</f>
        <v>1811</v>
      </c>
      <c r="F31" s="1085">
        <f>IF(ISNUMBER(E31/B31),E31/B31," - ")</f>
        <v>452.75</v>
      </c>
      <c r="G31" s="1084">
        <f>SUBTOTAL(9,G9:G30)</f>
        <v>1829</v>
      </c>
      <c r="H31" s="1085">
        <f>IF(ISNUMBER(G31/B31),G31/B31," - ")</f>
        <v>457.25</v>
      </c>
      <c r="I31" s="1084">
        <f>SUBTOTAL(9,I9:I30)</f>
        <v>3106</v>
      </c>
      <c r="J31" s="1085">
        <f>IF(ISNUMBER(I31/B31),I31/B31," - ")</f>
        <v>776.5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RZZAM4a72SVQ65okws+O1rwAQFhKnWZdx74/CvbfgVtRTNe1VtEOErUCudpqvdxZ5O8bkAKC8qvHxWnSAUj8A==" saltValue="sA/8GXRDz6zQDV/MU4OA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MASSAMAGRELL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210</v>
      </c>
      <c r="AM12" s="914">
        <f>IF(ISNUMBER(Datos!N12+DatosP!N17),Datos!N12+DatosP!N17," - ")</f>
        <v>366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7.100313479623825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-1.7670915411355737E-2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255</v>
      </c>
      <c r="AE14" s="1257">
        <f t="shared" si="1"/>
        <v>0</v>
      </c>
      <c r="AF14" s="1257">
        <f t="shared" si="1"/>
        <v>30</v>
      </c>
      <c r="AG14" s="1257">
        <f t="shared" si="1"/>
        <v>0</v>
      </c>
      <c r="AH14" s="1257">
        <f t="shared" si="1"/>
        <v>3391</v>
      </c>
      <c r="AI14" s="1257">
        <f t="shared" si="1"/>
        <v>0</v>
      </c>
      <c r="AJ14" s="1257">
        <f t="shared" si="1"/>
        <v>0</v>
      </c>
      <c r="AK14" s="1257">
        <f t="shared" si="1"/>
        <v>0</v>
      </c>
      <c r="AL14" s="1257">
        <f t="shared" si="1"/>
        <v>210</v>
      </c>
      <c r="AM14" s="1257">
        <f t="shared" si="1"/>
        <v>366</v>
      </c>
      <c r="AN14" s="1257">
        <f t="shared" si="1"/>
        <v>0</v>
      </c>
      <c r="AO14" s="1257">
        <f t="shared" si="1"/>
        <v>0</v>
      </c>
      <c r="AP14" s="1262">
        <f>IF(ISNUMBER(((Datos!L14/Datos!K14)*11)/factor_trimestre),((Datos!L14/Datos!K14)*11)/factor_trimestre," - ")</f>
        <v>7.5824561403508781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-1.7670915411355737E-2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2.790137614678899</v>
      </c>
      <c r="AQ23" s="1262">
        <f>IF(ISNUMBER(((Datos!M23/Datos!L23)*11)/factor_trimestre),((Datos!M23/Datos!L23)*11)/factor_trimestre," - ")</f>
        <v>0.5437731196054254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-0.10640870616686819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255</v>
      </c>
      <c r="AE31" s="1284">
        <f t="shared" si="9"/>
        <v>0</v>
      </c>
      <c r="AF31" s="1285">
        <f t="shared" si="9"/>
        <v>30</v>
      </c>
      <c r="AG31" s="1285">
        <f t="shared" si="9"/>
        <v>0</v>
      </c>
      <c r="AH31" s="1285">
        <f t="shared" si="9"/>
        <v>3391</v>
      </c>
      <c r="AI31" s="1285">
        <f t="shared" si="9"/>
        <v>0</v>
      </c>
      <c r="AJ31" s="1286">
        <f t="shared" si="9"/>
        <v>0</v>
      </c>
      <c r="AK31" s="1286">
        <f t="shared" si="9"/>
        <v>0</v>
      </c>
      <c r="AL31" s="1278">
        <f t="shared" si="9"/>
        <v>210</v>
      </c>
      <c r="AM31" s="1278">
        <f t="shared" si="9"/>
        <v>366</v>
      </c>
      <c r="AN31" s="1278">
        <f t="shared" si="9"/>
        <v>0</v>
      </c>
      <c r="AO31" s="1278">
        <f t="shared" si="9"/>
        <v>0</v>
      </c>
      <c r="AP31" s="1278">
        <f>IF(ISNUMBER(((Datos!L31/Datos!K31)*11)/factor_trimestre),((Datos!L31/Datos!K31)*11)/factor_trimestre," - ")</f>
        <v>5.1627099015634048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-1.7130019657399607E-2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108.44353369380767</v>
      </c>
      <c r="AM33" s="1006"/>
      <c r="AN33" s="1006">
        <f>IF(ISNUMBER(STDEV(AN8:AN30)),STDEV(AN8:AN30),"-")</f>
        <v>0</v>
      </c>
      <c r="AO33" s="1012">
        <f>IF(ISNUMBER(STDEV(AO8:AO30)),STDEV(AO8:AO30),"-")</f>
        <v>0</v>
      </c>
      <c r="AP33" s="1065">
        <f>IF(ISNUMBER(STDEV(AP8:AP30)),STDEV(AP8:AP30),"-")</f>
        <v>2.6386989970926198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4pX/QXXf5oBhjOzXmZiWqZMMRfU105Tq69Gwu+THCEZjsaEPu7uJXr0nDovOGDMKu9O7vITCmWi1lQTsriIjg==" saltValue="SV1Bf53q/hZOJI9RW5tD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MASSAMAGRELL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x3TBUd/qcNiOdXmf+eSKocOuD4504Mtb7uXgxvVvkteWLIXk/ihnnI/4bdvMOe53tKKcoPBmoHQWjvt4HynWw==" saltValue="k2HLBZ7VnakesyKSvMoi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MASSAMAGRELL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210</v>
      </c>
      <c r="E12" s="452">
        <f t="shared" si="0"/>
        <v>52.5</v>
      </c>
      <c r="F12" s="451">
        <f>IF(ISNUMBER(Datos!N12),Datos!N12," - ")</f>
        <v>366</v>
      </c>
      <c r="G12" s="452">
        <f t="shared" si="1"/>
        <v>91.5</v>
      </c>
      <c r="H12" s="451">
        <f>IF(ISNUMBER(Datos!O12),Datos!O12," - ")</f>
        <v>418</v>
      </c>
      <c r="I12" s="452">
        <f t="shared" si="2"/>
        <v>104.5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210</v>
      </c>
      <c r="E14" s="1147">
        <f t="shared" si="0"/>
        <v>42</v>
      </c>
      <c r="F14" s="1146">
        <f>SUBTOTAL(9,F9:F13)</f>
        <v>366</v>
      </c>
      <c r="G14" s="1147">
        <f t="shared" si="1"/>
        <v>73.2</v>
      </c>
      <c r="H14" s="1146">
        <f>SUBTOTAL(9,H9:H13)</f>
        <v>418</v>
      </c>
      <c r="I14" s="1147">
        <f>IF(ISNUMBER(H14/B14),H14/B14," - ")</f>
        <v>83.6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121</v>
      </c>
      <c r="E17" s="452">
        <f t="shared" si="3"/>
        <v>30.25</v>
      </c>
      <c r="F17" s="451">
        <f>IF(ISNUMBER(Datos!N17),Datos!N17," - ")</f>
        <v>368</v>
      </c>
      <c r="G17" s="452">
        <f t="shared" si="4"/>
        <v>92</v>
      </c>
      <c r="H17" s="451">
        <f>IF(ISNUMBER(Datos!O17),Datos!O17," - ")</f>
        <v>4</v>
      </c>
      <c r="I17" s="452">
        <f t="shared" si="5"/>
        <v>1</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52</v>
      </c>
      <c r="G18" s="452">
        <f>IF(ISNUMBER(F18/B18),F18/B18," - ")</f>
        <v>52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147</v>
      </c>
      <c r="E23" s="1147">
        <f t="shared" si="3"/>
        <v>29.4</v>
      </c>
      <c r="F23" s="1146">
        <f>SUBTOTAL(9,F16:F22)</f>
        <v>420</v>
      </c>
      <c r="G23" s="1147">
        <f t="shared" si="4"/>
        <v>84</v>
      </c>
      <c r="H23" s="1146">
        <f>SUBTOTAL(9,H16:H22)</f>
        <v>4</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357</v>
      </c>
      <c r="E31" s="1085">
        <f>IF(ISNUMBER(D31/B31),D31/B31," - ")</f>
        <v>89.25</v>
      </c>
      <c r="F31" s="1084">
        <f>SUBTOTAL(9,F8:F30)</f>
        <v>786</v>
      </c>
      <c r="G31" s="1085">
        <f>IF(ISNUMBER(F31/B31),F31/B31," - ")</f>
        <v>196.5</v>
      </c>
      <c r="H31" s="1084">
        <f>SUBTOTAL(9,H8:H30)</f>
        <v>422</v>
      </c>
      <c r="I31" s="1085">
        <f>IF(ISNUMBER(H31/B31),H31/B31," - ")</f>
        <v>105.5</v>
      </c>
    </row>
    <row r="34" spans="1:1">
      <c r="A34" s="439" t="str">
        <f>Criterios!A4</f>
        <v>Fecha Informe: 05 may. 2023</v>
      </c>
    </row>
    <row r="39" spans="1:1">
      <c r="A39" s="462"/>
    </row>
  </sheetData>
  <sheetProtection algorithmName="SHA-512" hashValue="aA5IXq0Effb5RBSgH3yho82nZwvO/ZHOUmc4TnXbZEgwcPdJrfSB1NPY4uKsO9pGn133ah6JTlVTGaOD6dKWcQ==" saltValue="zW66jdTvey67IZ2njTmn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MASSAMAGRELL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194</v>
      </c>
      <c r="C12" s="489">
        <f>IF(ISNUMBER(Datos!Q12),Datos!Q12," - ")</f>
        <v>255</v>
      </c>
      <c r="D12" s="456">
        <f>IF(ISNUMBER(Datos!R12),Datos!R12," - ")</f>
        <v>3391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194</v>
      </c>
      <c r="C14" s="1150">
        <f>SUBTOTAL(9,C9:C13)</f>
        <v>255</v>
      </c>
      <c r="D14" s="1148">
        <f>SUBTOTAL(9,D9:D13)</f>
        <v>3393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17</v>
      </c>
      <c r="D17" s="456">
        <f>IF(ISNUMBER(Datos!R17),Datos!R17," - ")</f>
        <v>106</v>
      </c>
    </row>
    <row r="18" spans="1:4">
      <c r="A18" s="450" t="str">
        <f>Datos!A18</f>
        <v>Jdos. Violencia contra la mujer</v>
      </c>
      <c r="B18" s="488">
        <f>IF(ISNUMBER(Datos!P18),Datos!P18," - ")</f>
        <v>0</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19</v>
      </c>
      <c r="D23" s="1148">
        <f>SUBTOTAL(9,D16:D22)</f>
        <v>107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213</v>
      </c>
      <c r="C31" s="1089">
        <f>SUBTOTAL(9,C8:C30)</f>
        <v>274</v>
      </c>
      <c r="D31" s="1090">
        <f>SUBTOTAL(9,D8:D30)</f>
        <v>3500</v>
      </c>
    </row>
    <row r="32" spans="1:4" ht="7.5" customHeight="1"/>
    <row r="33" spans="1:1" ht="6" customHeight="1"/>
    <row r="34" spans="1:1">
      <c r="A34" s="439" t="str">
        <f>Criterios!A4</f>
        <v>Fecha Informe: 05 may. 2023</v>
      </c>
    </row>
    <row r="39" spans="1:1">
      <c r="A39" s="462"/>
    </row>
  </sheetData>
  <sheetProtection algorithmName="SHA-512" hashValue="ySEahNduSagEQMNNvdtJ7gZ4T5p7xkf1jbAfN+AiKq82TLhQ6pA/PEGXL7YAe8cwD9wso1f8RKtJ5FD1JE2M+g==" saltValue="Giza9Az/okcwrRxZj9zO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MASSAMAGRELL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0.18181818181818182</v>
      </c>
      <c r="C10" s="515">
        <f>IF(ISNUMBER((Datos!J10-Datos!T10)/Datos!T10),(Datos!J10-Datos!T10)/Datos!T10," - ")</f>
        <v>3</v>
      </c>
      <c r="D10" s="515" t="str">
        <f>IF(ISNUMBER((Datos!K10-Datos!U10)/Datos!U10),(Datos!K10-Datos!U10)/Datos!U10," - ")</f>
        <v xml:space="preserve"> - </v>
      </c>
      <c r="E10" s="515">
        <f>IF(ISNUMBER((Datos!L10-Datos!V10)/Datos!V10),(Datos!L10-Datos!V10)/Datos!V10," - ")</f>
        <v>0.30434782608695654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-1.2647187091146969E-2</v>
      </c>
      <c r="C12" s="515">
        <f>IF(ISNUMBER(
   IF(J_V="SI",(Datos!J12-Datos!T12)/Datos!T12,(Datos!J12+Datos!Z12-(Datos!T12+Datos!AH12))/(Datos!T12+Datos!AH12))
     ),IF(J_V="SI",(Datos!J12-Datos!T12)/Datos!T12,(Datos!J12+Datos!Z12-(Datos!T12+Datos!AH12))/(Datos!T12+Datos!AH12))," - ")</f>
        <v>-5.801376597836775E-2</v>
      </c>
      <c r="D12" s="515">
        <f>IF(ISNUMBER(
   IF(J_V="SI",(Datos!K12-Datos!U12)/Datos!U12,(Datos!K12+Datos!AA12-(Datos!U12+Datos!AI12))/(Datos!U12+Datos!AI12))
     ),IF(J_V="SI",(Datos!K12-Datos!U12)/Datos!U12,(Datos!K12+Datos!AA12-(Datos!U12+Datos!AI12))/(Datos!U12+Datos!AI12))," - ")</f>
        <v>-4.6812749003984064E-2</v>
      </c>
      <c r="E12" s="515">
        <f>IF(ISNUMBER(
   IF(J_V="SI",(Datos!L12-Datos!V12)/Datos!V12,(Datos!L12+Datos!AB12-(Datos!V12+Datos!AJ12))/(Datos!V12+Datos!AJ12))
     ),IF(J_V="SI",(Datos!L12-Datos!V12)/Datos!V12,(Datos!L12+Datos!AB12-(Datos!V12+Datos!AJ12))/(Datos!V12+Datos!AJ12))," - ")</f>
        <v>-2.3285899094437259E-2</v>
      </c>
      <c r="F12" s="515">
        <f>IF(ISNUMBER((Datos!M12-Datos!W12)/Datos!W12),(Datos!M12-Datos!W12)/Datos!W12," - ")</f>
        <v>-1.4084507042253521E-2</v>
      </c>
      <c r="G12" s="516">
        <f>IF(ISNUMBER((Datos!N12-Datos!X12)/Datos!X12),(Datos!N12-Datos!X12)/Datos!X12," - ")</f>
        <v>-0.13064133016627077</v>
      </c>
      <c r="H12" s="514">
        <f>IF(ISNUMBER(((NºAsuntos!G12/NºAsuntos!E12)-Datos!BD12)/Datos!BD12),((NºAsuntos!G12/NºAsuntos!E12)-Datos!BD12)/Datos!BD12," - ")</f>
        <v>1.1890849961323849E-2</v>
      </c>
      <c r="I12" s="515">
        <f>IF(ISNUMBER(((NºAsuntos!I12/NºAsuntos!G12)-Datos!BE12)/Datos!BE12),((NºAsuntos!I12/NºAsuntos!G12)-Datos!BE12)/Datos!BE12," - ")</f>
        <v>2.4682296038855828E-2</v>
      </c>
      <c r="J12" s="521">
        <f>IF(ISNUMBER((('Resol  Asuntos'!D12/NºAsuntos!G12)-Datos!BF12)/Datos!BF12),(('Resol  Asuntos'!D12/NºAsuntos!G12)-Datos!BF12)/Datos!BF12," - ")</f>
        <v>-0.47669007215243597</v>
      </c>
      <c r="K12" s="522">
        <f>IF(ISNUMBER((((NºAsuntos!C12+NºAsuntos!E12)/NºAsuntos!G12)-Datos!BG12)/Datos!BG12),(((NºAsuntos!C12+NºAsuntos!E12)/NºAsuntos!G12)-Datos!BG12)/Datos!BG12," - ")</f>
        <v>2.1220013448370521E-2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-1.079913606911447E-2</v>
      </c>
      <c r="C14" s="1152">
        <f>IF(ISNUMBER(
   IF(J_V="SI",(Datos!J14-Datos!T14)/Datos!T14,(Datos!J14+Datos!Z14-(Datos!T14+Datos!AH14))/(Datos!T14+Datos!AH14))
     ),IF(J_V="SI",(Datos!J14-Datos!T14)/Datos!T14,(Datos!J14+Datos!Z14-(Datos!T14+Datos!AH14))/(Datos!T14+Datos!AH14))," - ")</f>
        <v>-5.50098231827112E-2</v>
      </c>
      <c r="D14" s="1152">
        <f>IF(ISNUMBER(
   IF(J_V="SI",(Datos!K14-Datos!U14)/Datos!U14,(Datos!K14+Datos!AA14-(Datos!U14+Datos!AI14))/(Datos!U14+Datos!AI14))
     ),IF(J_V="SI",(Datos!K14-Datos!U14)/Datos!U14,(Datos!K14+Datos!AA14-(Datos!U14+Datos!AI14))/(Datos!U14+Datos!AI14))," - ")</f>
        <v>-4.6812749003984064E-2</v>
      </c>
      <c r="E14" s="1152">
        <f>IF(ISNUMBER(
   IF(J_V="SI",(Datos!L14-Datos!V14)/Datos!V14,(Datos!L14+Datos!AB14-(Datos!V14+Datos!AJ14))/(Datos!V14+Datos!AJ14))
     ),IF(J_V="SI",(Datos!L14-Datos!V14)/Datos!V14,(Datos!L14+Datos!AB14-(Datos!V14+Datos!AJ14))/(Datos!V14+Datos!AJ14))," - ")</f>
        <v>-2.0068317677198976E-2</v>
      </c>
      <c r="F14" s="1153">
        <f>IF(ISNUMBER((Datos!M14-Datos!W14)/Datos!W14),(Datos!M14-Datos!W14)/Datos!W14," - ")</f>
        <v>-1.4084507042253521E-2</v>
      </c>
      <c r="G14" s="1154">
        <f>IF(ISNUMBER((Datos!N14-Datos!X14)/Datos!X14),(Datos!N14-Datos!X14)/Datos!X14," - ")</f>
        <v>-0.13064133016627077</v>
      </c>
      <c r="H14" s="1154">
        <f>IF(ISNUMBER(((NºAsuntos!G14/NºAsuntos!E14)-Datos!BD14)/Datos!BD14),((NºAsuntos!G14/NºAsuntos!E14)-Datos!BD14)/Datos!BD14," - ")</f>
        <v>8.6742427379878414E-3</v>
      </c>
      <c r="I14" s="1154">
        <f>IF(ISNUMBER(((NºAsuntos!I14/NºAsuntos!G14)-Datos!BE14)/Datos!BE14),((NºAsuntos!I14/NºAsuntos!G14)-Datos!BE14)/Datos!BE14," - ")</f>
        <v>2.8057898696021058E-2</v>
      </c>
      <c r="J14" s="1154">
        <f>IF(ISNUMBER((('Resol  Asuntos'!D14/NºAsuntos!G14)-Datos!BF14)/Datos!BF14),(('Resol  Asuntos'!D14/NºAsuntos!G14)-Datos!BF14)/Datos!BF14," - ")</f>
        <v>-0.47669007215243597</v>
      </c>
      <c r="K14" s="1154">
        <f>IF(ISNUMBER((((NºAsuntos!C14+NºAsuntos!E14)/NºAsuntos!G14)-Datos!BG14)/Datos!BG14),(((NºAsuntos!C14+NºAsuntos!E14)/NºAsuntos!G14)-Datos!BG14)/Datos!BG14," - ")</f>
        <v>2.3615841207945257E-2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8.3815028901734104E-2</v>
      </c>
      <c r="C17" s="515">
        <f>IF(ISNUMBER(
   IF(D_I="SI",(Datos!J17-Datos!T17)/Datos!T17,(Datos!J17+Datos!AD17-(Datos!T17+Datos!AL17))/(Datos!T17+Datos!AL17))
     ),IF(D_I="SI",(Datos!J17-Datos!T17)/Datos!T17,(Datos!J17+Datos!AD17-(Datos!T17+Datos!AL17))/(Datos!T17+Datos!AL17))," - ")</f>
        <v>0.17826825127334464</v>
      </c>
      <c r="D17" s="515">
        <f>IF(ISNUMBER(
   IF(D_I="SI",(Datos!K17-Datos!U17)/Datos!U17,(Datos!K17+Datos!AE17-(Datos!U17+Datos!AM17))/(Datos!U17+Datos!AM17))
     ),IF(D_I="SI",(Datos!K17-Datos!U17)/Datos!U17,(Datos!K17+Datos!AE17-(Datos!U17+Datos!AM17))/(Datos!U17+Datos!AM17))," - ")</f>
        <v>0.17833333333333334</v>
      </c>
      <c r="E17" s="515">
        <f>IF(ISNUMBER(
   IF(D_I="SI",(Datos!L17-Datos!V17)/Datos!V17,(Datos!L17+Datos!AF17-(Datos!V17+Datos!AN17))/(Datos!V17+Datos!AN17))
     ),IF(D_I="SI",(Datos!L17-Datos!V17)/Datos!V17,(Datos!L17+Datos!AF17-(Datos!V17+Datos!AN17))/(Datos!V17+Datos!AN17))," - ")</f>
        <v>9.7777777777777783E-2</v>
      </c>
      <c r="F17" s="515">
        <f>IF(ISNUMBER((Datos!M17-Datos!W17)/Datos!W17),(Datos!M17-Datos!W17)/Datos!W17," - ")</f>
        <v>0.34444444444444444</v>
      </c>
      <c r="G17" s="516">
        <f>IF(ISNUMBER((Datos!N17-Datos!X17)/Datos!X17),(Datos!N17-Datos!X17)/Datos!X17," - ")</f>
        <v>-2.7100271002710027E-3</v>
      </c>
      <c r="H17" s="514">
        <f>IF(ISNUMBER(((NºAsuntos!G17/NºAsuntos!E17)-Datos!BD17)/Datos!BD17),((NºAsuntos!G17/NºAsuntos!E17)-Datos!BD17)/Datos!BD17," - ")</f>
        <v>5.5235350624331193E-5</v>
      </c>
      <c r="I17" s="515">
        <f>IF(ISNUMBER(((NºAsuntos!I17/NºAsuntos!G17)-Datos!BE17)/Datos!BE17),((NºAsuntos!I17/NºAsuntos!G17)-Datos!BE17)/Datos!BE17," - ")</f>
        <v>-6.8363979255068263E-2</v>
      </c>
      <c r="J17" s="521">
        <f>IF(ISNUMBER((('Resol  Asuntos'!D17/NºAsuntos!G17)-Datos!BF17)/Datos!BF17),(('Resol  Asuntos'!D17/NºAsuntos!G17)-Datos!BF17)/Datos!BF17," - ")</f>
        <v>0.140971239981141</v>
      </c>
      <c r="K17" s="522">
        <f>IF(ISNUMBER((((NºAsuntos!C17+NºAsuntos!E17)/NºAsuntos!G17)-Datos!BG17)/Datos!BG17),(((NºAsuntos!C17+NºAsuntos!E17)/NºAsuntos!G17)-Datos!BG17)/Datos!BG17," - ")</f>
        <v>-4.3356995451970706E-2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0.7021276595744681</v>
      </c>
      <c r="C18" s="515">
        <f>IF(ISNUMBER(
   IF(D_I="SI",(Datos!J18-Datos!T18)/Datos!T18,(Datos!J18+Datos!AD18-(Datos!T18+Datos!AL18))/(Datos!T18+Datos!AL18))
     ),IF(D_I="SI",(Datos!J18-Datos!T18)/Datos!T18,(Datos!J18+Datos!AD18-(Datos!T18+Datos!AL18))/(Datos!T18+Datos!AL18))," - ")</f>
        <v>1.0129870129870129</v>
      </c>
      <c r="D18" s="515">
        <f>IF(ISNUMBER(
   IF(D_I="SI",(Datos!K18-Datos!U18)/Datos!U18,(Datos!K18+Datos!AE18-(Datos!U18+Datos!AM18))/(Datos!U18+Datos!AM18))
     ),IF(D_I="SI",(Datos!K18-Datos!U18)/Datos!U18,(Datos!K18+Datos!AE18-(Datos!U18+Datos!AM18))/(Datos!U18+Datos!AM18))," - ")</f>
        <v>1.2916666666666667</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1.6</v>
      </c>
      <c r="G18" s="516">
        <f>IF(ISNUMBER((Datos!N18-Datos!X18)/Datos!X18),(Datos!N18-Datos!X18)/Datos!X18," - ")</f>
        <v>8.3333333333333329E-2</v>
      </c>
      <c r="H18" s="514">
        <f>IF(ISNUMBER(((NºAsuntos!G18/NºAsuntos!E18)-Datos!BD18)/Datos!BD18),((NºAsuntos!G18/NºAsuntos!E18)-Datos!BD18)/Datos!BD18," - ")</f>
        <v>0.13844086021505372</v>
      </c>
      <c r="I18" s="515">
        <f>IF(ISNUMBER(((NºAsuntos!I18/NºAsuntos!G18)-Datos!BE18)/Datos!BE18),((NºAsuntos!I18/NºAsuntos!G18)-Datos!BE18)/Datos!BE18," - ")</f>
        <v>-0.45454545454545453</v>
      </c>
      <c r="J18" s="521">
        <f>IF(ISNUMBER((('Resol  Asuntos'!D18/NºAsuntos!G18)-Datos!BF18)/Datos!BF18),(('Resol  Asuntos'!D18/NºAsuntos!G18)-Datos!BF18)/Datos!BF18," - ")</f>
        <v>0.13454545454545441</v>
      </c>
      <c r="K18" s="522">
        <f>IF(ISNUMBER((((NºAsuntos!C18+NºAsuntos!E18)/NºAsuntos!G18)-Datos!BG18)/Datos!BG18),(((NºAsuntos!C18+NºAsuntos!E18)/NºAsuntos!G18)-Datos!BG18)/Datos!BG18," - ")</f>
        <v>-0.17302052785923755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0.12313937753721245</v>
      </c>
      <c r="C23" s="1152">
        <f>IF(ISNUMBER(
   IF(Criterios!B14="SI",(Datos!J23-Datos!T23)/Datos!T23,(Datos!J23+Datos!AD23-(Datos!T23+Datos!AL23))/(Datos!T23+Datos!AL23))
     ),IF(Criterios!B14="SI",(Datos!J23-Datos!T23)/Datos!T23,(Datos!J23+Datos!AD23-(Datos!T23+Datos!AL23))/(Datos!T23+Datos!AL23))," - ")</f>
        <v>0.2747747747747748</v>
      </c>
      <c r="D23" s="1152">
        <f>IF(ISNUMBER(
   IF(Criterios!B14="SI",(Datos!K23-Datos!U23)/Datos!U23,(Datos!K23+Datos!AE23-(Datos!U23+Datos!AM23))/(Datos!U23+Datos!AM23))
     ),IF(Criterios!B14="SI",(Datos!K23-Datos!U23)/Datos!U23,(Datos!K23+Datos!AE23-(Datos!U23+Datos!AM23))/(Datos!U23+Datos!AM23))," - ")</f>
        <v>0.29761904761904762</v>
      </c>
      <c r="E23" s="1152">
        <f>IF(ISNUMBER(
   IF(Criterios!B14="SI",(Datos!L23-Datos!V23)/Datos!V23,(Datos!L23+Datos!AF23-(Datos!V23+Datos!AN23))/(Datos!V23+Datos!AN23))
     ),IF(Criterios!B14="SI",(Datos!L23-Datos!V23)/Datos!V23,(Datos!L23+Datos!AF23-(Datos!V23+Datos!AN23))/(Datos!V23+Datos!AN23))," - ")</f>
        <v>0.1094391244870041</v>
      </c>
      <c r="F23" s="1153">
        <f>IF(ISNUMBER((Datos!M23-Datos!W23)/Datos!W23),(Datos!M23-Datos!W23)/Datos!W23," - ")</f>
        <v>0.47</v>
      </c>
      <c r="G23" s="1154">
        <f>IF(ISNUMBER((Datos!N23-Datos!X23)/Datos!X23),(Datos!N23-Datos!X23)/Datos!X23," - ")</f>
        <v>7.1942446043165471E-3</v>
      </c>
      <c r="H23" s="1154">
        <f>IF(ISNUMBER(((NºAsuntos!G23/NºAsuntos!E23)-Datos!BD23)/Datos!BD23),((NºAsuntos!G23/NºAsuntos!E23)-Datos!BD23)/Datos!BD23," - ")</f>
        <v>1.7920242301867808E-2</v>
      </c>
      <c r="I23" s="1154">
        <f>IF(ISNUMBER(((NºAsuntos!I23/NºAsuntos!G23)-Datos!BE23)/Datos!BE23),((NºAsuntos!I23/NºAsuntos!G23)-Datos!BE23)/Datos!BE23," - ")</f>
        <v>-0.14501939030359318</v>
      </c>
      <c r="J23" s="1154">
        <f>IF(ISNUMBER((('Resol  Asuntos'!D23/NºAsuntos!G23)-Datos!BF23)/Datos!BF23),(('Resol  Asuntos'!D23/NºAsuntos!G23)-Datos!BF23)/Datos!BF23," - ")</f>
        <v>0.13284403669724765</v>
      </c>
      <c r="K23" s="1154">
        <f>IF(ISNUMBER((((NºAsuntos!C23+NºAsuntos!E23)/NºAsuntos!G23)-Datos!BG23)/Datos!BG23),(((NºAsuntos!C23+NºAsuntos!E23)/NºAsuntos!G23)-Datos!BG23)/Datos!BG23," - ")</f>
        <v>-7.9068856312644778E-2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2.1611001964636542E-2</v>
      </c>
      <c r="C31" s="1092">
        <f>IF(ISNUMBER(
   IF(J_V="SI",(Datos!J31-Datos!T31)/Datos!T31,(Datos!J31+Datos!Z31-(Datos!T31+Datos!AH31))/(Datos!T31+Datos!AH31))
     ),IF(J_V="SI",(Datos!J31-Datos!T31)/Datos!T31,(Datos!J31+Datos!Z31-(Datos!T31+Datos!AH31))/(Datos!T31+Datos!AH31))," - ")</f>
        <v>7.5415676959619954E-2</v>
      </c>
      <c r="D31" s="1092">
        <f>IF(ISNUMBER(
   IF(J_V="SI",(Datos!K31-Datos!U31)/Datos!U31,(Datos!K31+Datos!AA31-(Datos!U31+Datos!AI31))/(Datos!U31+Datos!AI31))
     ),IF(J_V="SI",(Datos!K31-Datos!U31)/Datos!U31,(Datos!K31+Datos!AA31-(Datos!U31+Datos!AI31))/(Datos!U31+Datos!AI31))," - ")</f>
        <v>9.1288782816229111E-2</v>
      </c>
      <c r="E31" s="1092">
        <f>IF(ISNUMBER(
   IF(J_V="SI",(Datos!L31-Datos!V31)/Datos!V31,(Datos!L31+Datos!AB31-(Datos!V31+Datos!AJ31))/(Datos!V31+Datos!AJ31))
     ),IF(J_V="SI",(Datos!L31-Datos!V31)/Datos!V31,(Datos!L31+Datos!AB31-(Datos!V31+Datos!AJ31))/(Datos!V31+Datos!AJ31))," - ")</f>
        <v>1.0738691832085909E-2</v>
      </c>
      <c r="F31" s="1093">
        <f>IF(ISNUMBER((Datos!M31-Datos!W31)/Datos!W31),(Datos!M31-Datos!W31)/Datos!W31," - ")</f>
        <v>0.14057507987220447</v>
      </c>
      <c r="G31" s="1094">
        <f>IF(ISNUMBER((Datos!N31-Datos!X31)/Datos!X31),(Datos!N31-Datos!X31)/Datos!X31," - ")</f>
        <v>-6.205250596658711E-2</v>
      </c>
      <c r="H31" s="1095">
        <f>IF(ISNUMBER((Tasas!B31-Datos!BD31)/Datos!BD31),(Tasas!B31-Datos!BD31)/Datos!BD31," - ")</f>
        <v>1.4759972535908295E-2</v>
      </c>
      <c r="I31" s="1096">
        <f>IF(ISNUMBER((Tasas!C31-Datos!BE31)/Datos!BE31),(Tasas!C31-Datos!BE31)/Datos!BE31," - ")</f>
        <v>-7.3811893105207249E-2</v>
      </c>
      <c r="J31" s="1097">
        <f>IF(ISNUMBER((Tasas!D31-Datos!BF31)/Datos!BF31),(Tasas!D31-Datos!BF31)/Datos!BF31," - ")</f>
        <v>-0.37209953941037394</v>
      </c>
      <c r="K31" s="1097">
        <f>IF(ISNUMBER((Tasas!E31-Datos!BG31)/Datos!BG31),(Tasas!E31-Datos!BG31)/Datos!BG31," - ")</f>
        <v>-4.6325314148650001E-2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fBmGEfomOzAB0Ftph7PYtvMzOHNHRNk3DMxS0BTpjTx6Wr9S7nkFDY8VLVRO05LHqpaADS/j79lLhVWr0NnWg==" saltValue="rKw2wTA7Hrled27MpQRi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MASSAMAGRELL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0.9989561586638831</v>
      </c>
      <c r="C12" s="498">
        <f>IF(ISNUMBER(NºAsuntos!I12/NºAsuntos!G12),NºAsuntos!I12/NºAsuntos!G12," - ")</f>
        <v>2.3667711598746082</v>
      </c>
      <c r="D12" s="499">
        <f>IF(ISNUMBER('Resol  Asuntos'!D12/NºAsuntos!G12),'Resol  Asuntos'!D12/NºAsuntos!G12," - ")</f>
        <v>0.21943573667711599</v>
      </c>
      <c r="E12" s="500">
        <f>IF(ISNUMBER((NºAsuntos!C12+NºAsuntos!E12)/NºAsuntos!G12),(NºAsuntos!C12+NºAsuntos!E12)/NºAsuntos!G12," - ")</f>
        <v>3.3667711598746082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0.99480249480249483</v>
      </c>
      <c r="C14" s="1156">
        <f>IF(ISNUMBER(NºAsuntos!I14/NºAsuntos!G14),NºAsuntos!I14/NºAsuntos!G14," - ")</f>
        <v>2.3981191222570533</v>
      </c>
      <c r="D14" s="1157">
        <f>IF(ISNUMBER('Resol  Asuntos'!D14/NºAsuntos!G14),'Resol  Asuntos'!D14/NºAsuntos!G14," - ")</f>
        <v>0.21943573667711599</v>
      </c>
      <c r="E14" s="1158">
        <f>IF(ISNUMBER((NºAsuntos!C14+NºAsuntos!E14)/NºAsuntos!G14),(NºAsuntos!C14+NºAsuntos!E14)/NºAsuntos!G14," - ")</f>
        <v>3.3981191222570533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1.0187319884726225</v>
      </c>
      <c r="C17" s="498">
        <f>IF(ISNUMBER(NºAsuntos!I17/NºAsuntos!G17),NºAsuntos!I17/NºAsuntos!G17," - ")</f>
        <v>1.0480905233380482</v>
      </c>
      <c r="D17" s="499">
        <f>IF(ISNUMBER('Resol  Asuntos'!D17/NºAsuntos!G17),'Resol  Asuntos'!D17/NºAsuntos!G17," - ")</f>
        <v>0.17114568599717114</v>
      </c>
      <c r="E17" s="500">
        <f>IF(ISNUMBER((NºAsuntos!C17+NºAsuntos!E17)/NºAsuntos!G17),(NºAsuntos!C17+NºAsuntos!E17)/NºAsuntos!G17," - ")</f>
        <v>2.0424328147100423</v>
      </c>
      <c r="G17" s="523"/>
    </row>
    <row r="18" spans="1:7">
      <c r="A18" s="450" t="str">
        <f>Datos!A18</f>
        <v>Jdos. Violencia contra la mujer</v>
      </c>
      <c r="B18" s="497">
        <f>IF(ISNUMBER(NºAsuntos!G18/NºAsuntos!E18),NºAsuntos!G18/NºAsuntos!E18," - ")</f>
        <v>1.064516129032258</v>
      </c>
      <c r="C18" s="498">
        <f>IF(ISNUMBER(NºAsuntos!I18/NºAsuntos!G18),NºAsuntos!I18/NºAsuntos!G18," - ")</f>
        <v>0.42424242424242425</v>
      </c>
      <c r="D18" s="499">
        <f>IF(ISNUMBER('Resol  Asuntos'!D18/NºAsuntos!G18),'Resol  Asuntos'!D18/NºAsuntos!G18," - ")</f>
        <v>0.15757575757575756</v>
      </c>
      <c r="E18" s="500">
        <f>IF(ISNUMBER((NºAsuntos!C18+NºAsuntos!E18)/NºAsuntos!G18),(NºAsuntos!C18+NºAsuntos!E18)/NºAsuntos!G18," - ")</f>
        <v>1.4242424242424243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1.0270906949352179</v>
      </c>
      <c r="C23" s="1156">
        <f>IF(ISNUMBER(NºAsuntos!I23/NºAsuntos!G23),NºAsuntos!I23/NºAsuntos!G23," - ")</f>
        <v>0.93004587155963303</v>
      </c>
      <c r="D23" s="1159">
        <f>IF(ISNUMBER('Resol  Asuntos'!D23/NºAsuntos!G23),'Resol  Asuntos'!D23/NºAsuntos!G23," - ")</f>
        <v>0.16857798165137614</v>
      </c>
      <c r="E23" s="1158">
        <f>IF(ISNUMBER((NºAsuntos!C23+NºAsuntos!E23)/NºAsuntos!G23),(NºAsuntos!C23+NºAsuntos!E23)/NºAsuntos!G23," - ")</f>
        <v>1.9254587155963303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1.0099392600773054</v>
      </c>
      <c r="C31" s="1099">
        <f>IF(ISNUMBER(NºAsuntos!I31/NºAsuntos!G31),NºAsuntos!I31/NºAsuntos!G31," - ")</f>
        <v>1.6981957353745216</v>
      </c>
      <c r="D31" s="1100">
        <f>IF(ISNUMBER('Resol  Asuntos'!D31/NºAsuntos!G31),'Resol  Asuntos'!D31/NºAsuntos!G31," - ")</f>
        <v>0.19518862766539091</v>
      </c>
      <c r="E31" s="1101">
        <f>IF(ISNUMBER((NºAsuntos!C31+NºAsuntos!E31)/NºAsuntos!G31),(NºAsuntos!C31+NºAsuntos!E31)/NºAsuntos!G31," - ")</f>
        <v>2.6960087479496995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9LwS2/WE7j3VLRPQbe7Ri9uwXTXXvFmyXAKcKVPclozRRQTH7NMJx4iKgoTzOBzVPA+z1KCaSoLwSwCk9AicA==" saltValue="fcHEGHaBap2yiZgGpba7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MASSAMAGRELL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30</v>
      </c>
      <c r="AB10" s="374">
        <f>IF(ISNUMBER(Datos!R10),Datos!R10," - ")</f>
        <v>2</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255</v>
      </c>
      <c r="Y12" s="374">
        <f t="shared" si="0"/>
        <v>255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210</v>
      </c>
      <c r="AJ12" s="243" t="str">
        <f>IF(ISNUMBER(Datos!BW12),Datos!BW12," - ")</f>
        <v xml:space="preserve"> - </v>
      </c>
      <c r="AK12" s="242" t="str">
        <f>IF(ISNUMBER(Datos!BX12),Datos!BX12," - ")</f>
        <v xml:space="preserve"> - </v>
      </c>
      <c r="AL12" s="266">
        <f>IF(ISNUMBER(NºAsuntos!G12/NºAsuntos!E12),NºAsuntos!G12/NºAsuntos!E12," - ")</f>
        <v>0.9989561586638831</v>
      </c>
      <c r="AM12" s="284">
        <f>IF(ISNUMBER(((NºAsuntos!I12/NºAsuntos!G12)*11)/factor_trimestre),((NºAsuntos!I12/NºAsuntos!G12)*11)/factor_trimestre," - ")</f>
        <v>7.100313479623825</v>
      </c>
      <c r="AN12" s="267">
        <f>IF(ISNUMBER('Resol  Asuntos'!D12/NºAsuntos!G12),'Resol  Asuntos'!D12/NºAsuntos!G12," - ")</f>
        <v>0.21943573667711599</v>
      </c>
      <c r="AO12" s="268">
        <f>IF(ISNUMBER((NºAsuntos!C12+NºAsuntos!E12)/NºAsuntos!G12),(NºAsuntos!C12+NºAsuntos!E12)/NºAsuntos!G12," - ")</f>
        <v>3.3667711598746082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26</v>
      </c>
      <c r="G14" s="1163">
        <f t="shared" si="5"/>
        <v>26</v>
      </c>
      <c r="H14" s="1162">
        <f t="shared" si="5"/>
        <v>0</v>
      </c>
      <c r="I14" s="1164">
        <f t="shared" si="5"/>
        <v>0</v>
      </c>
      <c r="J14" s="1164">
        <f t="shared" si="5"/>
        <v>0</v>
      </c>
      <c r="K14" s="1164">
        <f t="shared" si="5"/>
        <v>0</v>
      </c>
      <c r="L14" s="1164">
        <f t="shared" si="5"/>
        <v>194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255</v>
      </c>
      <c r="Y14" s="1165">
        <f t="shared" si="6"/>
        <v>255</v>
      </c>
      <c r="Z14" s="1165">
        <f t="shared" si="6"/>
        <v>0</v>
      </c>
      <c r="AA14" s="1165">
        <f t="shared" si="6"/>
        <v>30</v>
      </c>
      <c r="AB14" s="1165">
        <f t="shared" si="6"/>
        <v>3393</v>
      </c>
      <c r="AC14" s="1165">
        <f t="shared" si="6"/>
        <v>32</v>
      </c>
      <c r="AD14" s="1165">
        <f t="shared" si="6"/>
        <v>0</v>
      </c>
      <c r="AE14" s="1169">
        <f t="shared" si="6"/>
        <v>0</v>
      </c>
      <c r="AF14" s="1162">
        <f t="shared" si="6"/>
        <v>0</v>
      </c>
      <c r="AG14" s="1170">
        <f t="shared" si="6"/>
        <v>0</v>
      </c>
      <c r="AH14" s="1167">
        <f t="shared" si="6"/>
        <v>0</v>
      </c>
      <c r="AI14" s="1162">
        <f t="shared" si="6"/>
        <v>210</v>
      </c>
      <c r="AJ14" s="1164">
        <f t="shared" si="6"/>
        <v>0</v>
      </c>
      <c r="AK14" s="1167">
        <f>SUBTOTAL(9,AK9:AK13)</f>
        <v>0</v>
      </c>
      <c r="AL14" s="1171">
        <f>IF(ISNUMBER(NºAsuntos!G14/NºAsuntos!E14),NºAsuntos!G14/NºAsuntos!E14," - ")</f>
        <v>0.99480249480249483</v>
      </c>
      <c r="AM14" s="1171">
        <f>IF(ISNUMBER(((NºAsuntos!I14/NºAsuntos!G14)*11)/factor_trimestre),((NºAsuntos!I14/NºAsuntos!G14)*11)/factor_trimestre," - ")</f>
        <v>7.1943573667711602</v>
      </c>
      <c r="AN14" s="1172">
        <f>IF(ISNUMBER('Resol  Asuntos'!D14/NºAsuntos!G14),'Resol  Asuntos'!D14/NºAsuntos!G14," - ")</f>
        <v>0.21943573667711599</v>
      </c>
      <c r="AO14" s="1173">
        <f>IF(ISNUMBER((NºAsuntos!C14+NºAsuntos!E14)/NºAsuntos!G14),(NºAsuntos!C14+NºAsuntos!E14)/NºAsuntos!G14," - ")</f>
        <v>3.3981191222570533</v>
      </c>
      <c r="AP14" s="1174" t="str">
        <f t="shared" si="2"/>
        <v xml:space="preserve"> - </v>
      </c>
      <c r="AQ14" s="1174">
        <f>IF(ISNUMBER((H14-W14+K14)/(F14)),(H14-W14+K14)/(F14)," - ")</f>
        <v>0</v>
      </c>
      <c r="AR14" s="1175">
        <f>IF(ISNUMBER((Datos!P14-Datos!Q14)/(Datos!R14-Datos!P14+Datos!Q14)),(Datos!P14-Datos!Q14)/(Datos!R14-Datos!P14+Datos!Q14)," - ")</f>
        <v>-1.7660683265778809E-2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754</v>
      </c>
      <c r="G17" s="373">
        <f>IF(ISNUMBER(IF(D_I="SI",Datos!I17,Datos!I17+Datos!AC17)),IF(D_I="SI",Datos!I17,Datos!I17+Datos!AC17)," - ")</f>
        <v>750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707</v>
      </c>
      <c r="X17" s="240">
        <f>IF(ISNUMBER(Datos!Q17),Datos!Q17," - ")</f>
        <v>17</v>
      </c>
      <c r="Y17" s="374">
        <f t="shared" ref="Y17:Y22" si="9">SUM(W17:X17)</f>
        <v>724</v>
      </c>
      <c r="Z17" s="375" t="str">
        <f>IF(ISNUMBER(Datos!CC17),Datos!CC17," - ")</f>
        <v xml:space="preserve"> - </v>
      </c>
      <c r="AA17" s="372">
        <f>IF(ISNUMBER(IF(D_I="SI",Datos!L17,Datos!L17+Datos!AF17)),IF(D_I="SI",Datos!L17,Datos!L17+Datos!AF17)," - ")</f>
        <v>741</v>
      </c>
      <c r="AB17" s="374">
        <f>IF(ISNUMBER(Datos!R17),Datos!R17," - ")</f>
        <v>106</v>
      </c>
      <c r="AC17" s="374">
        <f t="shared" si="8"/>
        <v>847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121</v>
      </c>
      <c r="AJ17" s="245" t="str">
        <f>IF(ISNUMBER(Datos!BW17),Datos!BW17," - ")</f>
        <v xml:space="preserve"> - </v>
      </c>
      <c r="AK17" s="246" t="str">
        <f>IF(ISNUMBER(Datos!BX17),Datos!BX17," - ")</f>
        <v xml:space="preserve"> - </v>
      </c>
      <c r="AL17" s="266">
        <f>IF(ISNUMBER(NºAsuntos!G17/NºAsuntos!E17),NºAsuntos!G17/NºAsuntos!E17," - ")</f>
        <v>1.0187319884726225</v>
      </c>
      <c r="AM17" s="284">
        <f>IF(ISNUMBER(((NºAsuntos!I17/NºAsuntos!G17)*11)/factor_trimestre),((NºAsuntos!I17/NºAsuntos!G17)*11)/factor_trimestre," - ")</f>
        <v>3.1442715700141446</v>
      </c>
      <c r="AN17" s="267">
        <f>IF(ISNUMBER('Resol  Asuntos'!D17/NºAsuntos!G17),'Resol  Asuntos'!D17/NºAsuntos!G17," - ")</f>
        <v>0.17114568599717114</v>
      </c>
      <c r="AO17" s="268">
        <f>IF(ISNUMBER((NºAsuntos!C17+NºAsuntos!E17)/NºAsuntos!G17),(NºAsuntos!C17+NºAsuntos!E17)/NºAsuntos!G17," - ")</f>
        <v>2.0424328147100423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165</v>
      </c>
      <c r="X18" s="240">
        <f>IF(ISNUMBER(Datos!Q18),Datos!Q18," - ")</f>
        <v>2</v>
      </c>
      <c r="Y18" s="374">
        <f t="shared" si="9"/>
        <v>167</v>
      </c>
      <c r="Z18" s="375" t="str">
        <f>IF(ISNUMBER(Datos!CC18),Datos!CC18," - ")</f>
        <v xml:space="preserve"> - </v>
      </c>
      <c r="AA18" s="372">
        <f>IF(ISNUMBER(Datos!L18),Datos!L18,"-")</f>
        <v>70</v>
      </c>
      <c r="AB18" s="374">
        <f>IF(ISNUMBER(Datos!R18),Datos!R18," - ")</f>
        <v>1</v>
      </c>
      <c r="AC18" s="374">
        <f t="shared" si="8"/>
        <v>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1.064516129032258</v>
      </c>
      <c r="AM18" s="284">
        <f>IF(ISNUMBER(((NºAsuntos!I18/NºAsuntos!G18)*11)/factor_trimestre),((NºAsuntos!I18/NºAsuntos!G18)*11)/factor_trimestre," - ")</f>
        <v>1.2727272727272729</v>
      </c>
      <c r="AN18" s="267">
        <f>IF(ISNUMBER('Resol  Asuntos'!D18/NºAsuntos!G18),'Resol  Asuntos'!D18/NºAsuntos!G18," - ")</f>
        <v>0.15757575757575756</v>
      </c>
      <c r="AO18" s="268">
        <f>IF(ISNUMBER((NºAsuntos!C18+NºAsuntos!E18)/NºAsuntos!G18),(NºAsuntos!C18+NºAsuntos!E18)/NºAsuntos!G18," - ")</f>
        <v>1.4242424242424243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754</v>
      </c>
      <c r="G23" s="1163">
        <f>SUBTOTAL(9,G16:G22)</f>
        <v>830</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872</v>
      </c>
      <c r="X23" s="1164">
        <f t="shared" si="14"/>
        <v>19</v>
      </c>
      <c r="Y23" s="1165">
        <f t="shared" si="14"/>
        <v>891</v>
      </c>
      <c r="Z23" s="1165">
        <f t="shared" si="14"/>
        <v>0</v>
      </c>
      <c r="AA23" s="1165">
        <f t="shared" si="14"/>
        <v>811</v>
      </c>
      <c r="AB23" s="1165">
        <f t="shared" si="14"/>
        <v>107</v>
      </c>
      <c r="AC23" s="1165">
        <f t="shared" si="14"/>
        <v>918</v>
      </c>
      <c r="AD23" s="1165">
        <f t="shared" si="14"/>
        <v>0</v>
      </c>
      <c r="AE23" s="1169">
        <f t="shared" si="14"/>
        <v>0</v>
      </c>
      <c r="AF23" s="1162">
        <f t="shared" si="14"/>
        <v>0</v>
      </c>
      <c r="AG23" s="1170">
        <f t="shared" si="14"/>
        <v>0</v>
      </c>
      <c r="AH23" s="1167">
        <f t="shared" si="14"/>
        <v>0</v>
      </c>
      <c r="AI23" s="1162">
        <f t="shared" si="14"/>
        <v>147</v>
      </c>
      <c r="AJ23" s="1164">
        <f t="shared" si="14"/>
        <v>0</v>
      </c>
      <c r="AK23" s="1167">
        <f t="shared" si="14"/>
        <v>0</v>
      </c>
      <c r="AL23" s="1171">
        <f>IF(ISNUMBER(NºAsuntos!G23/NºAsuntos!E23),NºAsuntos!G23/NºAsuntos!E23," - ")</f>
        <v>1.0270906949352179</v>
      </c>
      <c r="AM23" s="1171">
        <f>IF(ISNUMBER(((NºAsuntos!I23/NºAsuntos!G23)*11)/factor_trimestre),((NºAsuntos!I23/NºAsuntos!G23)*11)/factor_trimestre," - ")</f>
        <v>2.790137614678899</v>
      </c>
      <c r="AN23" s="1172">
        <f>IF(ISNUMBER('Resol  Asuntos'!D23/NºAsuntos!G23),'Resol  Asuntos'!D23/NºAsuntos!G23," - ")</f>
        <v>0.16857798165137614</v>
      </c>
      <c r="AO23" s="1173">
        <f>IF(ISNUMBER((NºAsuntos!C23+NºAsuntos!E23)/NºAsuntos!G23),(NºAsuntos!C23+NºAsuntos!E23)/NºAsuntos!G23," - ")</f>
        <v>1.9254587155963303</v>
      </c>
      <c r="AP23" s="1174" t="str">
        <f t="shared" si="2"/>
        <v xml:space="preserve"> - </v>
      </c>
      <c r="AQ23" s="1174">
        <f>IF(ISNUMBER((H23-W23+K23)/(F23)),(H23-W23+K23)/(F23)," - ")</f>
        <v>-1.1564986737400531</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780</v>
      </c>
      <c r="G31" s="1118">
        <f t="shared" si="20"/>
        <v>856</v>
      </c>
      <c r="H31" s="1117">
        <f t="shared" si="20"/>
        <v>0</v>
      </c>
      <c r="I31" s="1119">
        <f t="shared" si="20"/>
        <v>0</v>
      </c>
      <c r="J31" s="1119">
        <f t="shared" si="20"/>
        <v>0</v>
      </c>
      <c r="K31" s="1180">
        <f t="shared" si="20"/>
        <v>0</v>
      </c>
      <c r="L31" s="1119">
        <f t="shared" si="20"/>
        <v>213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872</v>
      </c>
      <c r="X31" s="1118">
        <f t="shared" si="21"/>
        <v>274</v>
      </c>
      <c r="Y31" s="1125">
        <f t="shared" si="21"/>
        <v>1146</v>
      </c>
      <c r="Z31" s="1125">
        <f t="shared" si="21"/>
        <v>0</v>
      </c>
      <c r="AA31" s="1125">
        <f t="shared" si="21"/>
        <v>841</v>
      </c>
      <c r="AB31" s="1125">
        <f t="shared" si="21"/>
        <v>3500</v>
      </c>
      <c r="AC31" s="1125">
        <f t="shared" si="21"/>
        <v>950</v>
      </c>
      <c r="AD31" s="1125">
        <f t="shared" si="21"/>
        <v>0</v>
      </c>
      <c r="AE31" s="1127">
        <f t="shared" si="21"/>
        <v>0</v>
      </c>
      <c r="AF31" s="1128">
        <f t="shared" si="21"/>
        <v>0</v>
      </c>
      <c r="AG31" s="1129">
        <f t="shared" si="21"/>
        <v>0</v>
      </c>
      <c r="AH31" s="1127">
        <f t="shared" si="21"/>
        <v>0</v>
      </c>
      <c r="AI31" s="1117">
        <f t="shared" si="21"/>
        <v>357</v>
      </c>
      <c r="AJ31" s="1117">
        <f t="shared" si="21"/>
        <v>0</v>
      </c>
      <c r="AK31" s="1127">
        <f t="shared" si="21"/>
        <v>0</v>
      </c>
      <c r="AL31" s="1183">
        <f>IF(ISNUMBER(NºAsuntos!G31/NºAsuntos!E31),NºAsuntos!G31/NºAsuntos!E31," - ")</f>
        <v>1.0099392600773054</v>
      </c>
      <c r="AM31" s="1184">
        <f>IF(ISNUMBER(((NºAsuntos!I31/NºAsuntos!G31)*11)/factor_trimestre),((NºAsuntos!I31/NºAsuntos!G31)*11)/factor_trimestre," - ")</f>
        <v>5.0945872061235651</v>
      </c>
      <c r="AN31" s="1184">
        <f>IF(ISNUMBER('Resol  Asuntos'!D31/NºAsuntos!G31),'Resol  Asuntos'!D31/NºAsuntos!G31," - ")</f>
        <v>0.19518862766539091</v>
      </c>
      <c r="AO31" s="1185">
        <f>IF(ISNUMBER((NºAsuntos!C31+NºAsuntos!E31)/NºAsuntos!G31),(NºAsuntos!C31+NºAsuntos!E31)/NºAsuntos!G31," - ")</f>
        <v>2.6960087479496995</v>
      </c>
      <c r="AP31" s="1186" t="str">
        <f t="shared" si="2"/>
        <v xml:space="preserve"> - </v>
      </c>
      <c r="AQ31" s="1187">
        <f>IF(OR(ISNUMBER(FIND("01",Criterios!A8,1)),ISNUMBER(FIND("02",Criterios!A8,1)),ISNUMBER(FIND("03",Criterios!A8,1)),ISNUMBER(FIND("04",Criterios!A8,1))),(I31-W31+K31)/(F31-K31),(H31-W31+K31)/(F31-K31))</f>
        <v>-1.117948717948718</v>
      </c>
      <c r="AR31" s="1188">
        <f>IF(ISNUMBER((Datos!P31-Datos!Q31)/(Datos!R31-Datos!P31+Datos!Q31)),(Datos!P31-Datos!Q31)/(Datos!R31-Datos!P31+Datos!Q31)," - ")</f>
        <v>-1.7130019657399607E-2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382.82737624156397</v>
      </c>
      <c r="G33" s="277">
        <f>IF(ISNUMBER(STDEV(G8:G30)),STDEV(G8:G30),"-")</f>
        <v>374.26499397390307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377.03953310469916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93.657049158847926</v>
      </c>
      <c r="AJ33" s="276">
        <f t="shared" si="25"/>
        <v>0</v>
      </c>
      <c r="AK33" s="278">
        <f t="shared" si="25"/>
        <v>0</v>
      </c>
      <c r="AL33" s="273">
        <f t="shared" si="25"/>
        <v>0.41749291473796274</v>
      </c>
      <c r="AM33" s="274">
        <f t="shared" si="25"/>
        <v>2.6925281934109018</v>
      </c>
      <c r="AN33" s="274">
        <f t="shared" si="25"/>
        <v>2.9834526565944017E-2</v>
      </c>
      <c r="AO33" s="275">
        <f t="shared" si="25"/>
        <v>0.89876352630258782</v>
      </c>
      <c r="AP33" s="317" t="str">
        <f t="shared" si="25"/>
        <v>-</v>
      </c>
      <c r="AQ33" s="318">
        <f t="shared" si="25"/>
        <v>0.81776805463484015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anILr1OILhfodzJL4iSZWIYpGblx51OfUMDWIWeZyjzYz7LNdFwM/gOKtuWiTi6lckUXH5xf3fCFXckebjO1w==" saltValue="43n9fP5/Z3XLbJchQcKW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MASSAMAGRELL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0.18181818181818182</v>
      </c>
      <c r="E10" s="393">
        <f>IF(ISNUMBER((Datos!J10-Datos!T10)/Datos!T10),(Datos!J10-Datos!T10)/Datos!T10," - ")</f>
        <v>3</v>
      </c>
      <c r="F10" s="393" t="str">
        <f>IF(ISNUMBER((Datos!K10-Datos!U10)/Datos!U10),(Datos!K10-Datos!U10)/Datos!U10," - ")</f>
        <v xml:space="preserve"> - </v>
      </c>
      <c r="G10" s="394">
        <f>IF(ISNUMBER((Datos!L10-Datos!V10)/Datos!V10),(Datos!L10-Datos!V10)/Datos!V10," - ")</f>
        <v>0.30434782608695654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-1.4084507042253521E-2</v>
      </c>
      <c r="I12" s="395">
        <f>IF(ISNUMBER((Tasas!C12-Datos!BE12)/Datos!BE12),(Tasas!C12-Datos!BE12)/Datos!BE12," - ")</f>
        <v>2.4682296038855828E-2</v>
      </c>
      <c r="J12" s="394">
        <f>IF(ISNUMBER((Tasas!D12-Datos!BF12)/Datos!BF12),(Tasas!D12-Datos!BF12)/Datos!BF12," - ")</f>
        <v>-0.47669007215243597</v>
      </c>
      <c r="K12" s="396">
        <f>IF(ISNUMBER((Tasas!E12-Datos!BG12)/Datos!BG12),(Tasas!E12-Datos!BG12)/Datos!BG12," - ")</f>
        <v>2.1220013448370521E-2</v>
      </c>
      <c r="M12" t="e">
        <f>IF(Monitorios="SI",Datos!CE12,0)</f>
        <v>#REF!</v>
      </c>
      <c r="N12" t="e">
        <f>IF(Monitorios="SI",Datos!CF12,0)</f>
        <v>#REF!</v>
      </c>
      <c r="O12" t="e">
        <f>IF(Monitorios="SI",Datos!CG12,0)</f>
        <v>#REF!</v>
      </c>
      <c r="P12" t="e">
        <f>IF(Monitorios="SI",Datos!CH12,0)</f>
        <v>#REF!</v>
      </c>
      <c r="Q12">
        <f>IF(J_V="SI",0,Datos!AG12)</f>
        <v>94</v>
      </c>
      <c r="R12">
        <f>IF(J_V="SI",0,Datos!AH12)</f>
        <v>125</v>
      </c>
      <c r="S12">
        <f>IF(J_V="SI",0,Datos!AI12)</f>
        <v>112</v>
      </c>
      <c r="T12">
        <f>IF(J_V="SI",0,Datos!AJ12)</f>
        <v>122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-1.4084507042253521E-2</v>
      </c>
      <c r="I14" s="402">
        <f>IF(ISNUMBER((Tasas!C14-Datos!BE14)/Datos!BE14),(Tasas!C14-Datos!BE14)/Datos!BE14," - ")</f>
        <v>2.8057898696021058E-2</v>
      </c>
      <c r="J14" s="400">
        <f>IF(ISNUMBER((Tasas!D14-Datos!BF14)/Datos!BF14),(Tasas!D14-Datos!BF14)/Datos!BF14," - ")</f>
        <v>-0.47669007215243597</v>
      </c>
      <c r="K14" s="403">
        <f>IF(ISNUMBER((Tasas!E14-Datos!BG14)/Datos!BG14),(Tasas!E14-Datos!BG14)/Datos!BG14," - ")</f>
        <v>2.3615841207945257E-2</v>
      </c>
      <c r="M14" t="e">
        <f>IF(Monitorios="SI",Datos!CE14,0)</f>
        <v>#REF!</v>
      </c>
      <c r="N14" t="e">
        <f>IF(Monitorios="SI",Datos!CF14,0)</f>
        <v>#REF!</v>
      </c>
      <c r="O14" t="e">
        <f>IF(Monitorios="SI",Datos!CG14,0)</f>
        <v>#REF!</v>
      </c>
      <c r="P14" t="e">
        <f>IF(Monitorios="SI",Datos!CH14,0)</f>
        <v>#REF!</v>
      </c>
      <c r="Q14">
        <f>IF(J_V="SI",0,Datos!AG14)</f>
        <v>94</v>
      </c>
      <c r="R14">
        <f>IF(J_V="SI",0,Datos!AH14)</f>
        <v>125</v>
      </c>
      <c r="S14">
        <f>IF(J_V="SI",0,Datos!AI14)</f>
        <v>112</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8.3815028901734104E-2</v>
      </c>
      <c r="E17" s="393">
        <f>IF(ISNUMBER(
   IF(D_I="SI",(Datos!J17-Datos!T17)/Datos!T17,(Datos!J17+Datos!AD17-(Datos!T17+Datos!AL17))/(Datos!T17+Datos!AL17))
     ),IF(D_I="SI",(Datos!J17-Datos!T17)/Datos!T17,(Datos!J17+Datos!AD17-(Datos!T17+Datos!AL17))/(Datos!T17+Datos!AL17))," - ")</f>
        <v>0.17826825127334464</v>
      </c>
      <c r="F17" s="393">
        <f>IF(ISNUMBER(
   IF(D_I="SI",(Datos!K17-Datos!U17)/Datos!U17,(Datos!K17+Datos!AE17-(Datos!U17+Datos!AM17))/(Datos!U17+Datos!AM17))
     ),IF(D_I="SI",(Datos!K17-Datos!U17)/Datos!U17,(Datos!K17+Datos!AE17-(Datos!U17+Datos!AM17))/(Datos!U17+Datos!AM17))," - ")</f>
        <v>0.17833333333333334</v>
      </c>
      <c r="G17" s="394">
        <f>IF(ISNUMBER(
   IF(D_I="SI",(Datos!L17-Datos!V17)/Datos!V17,(Datos!L17+Datos!AF17-(Datos!V17+Datos!AN17))/(Datos!V17+Datos!AN17))
     ),IF(D_I="SI",(Datos!L17-Datos!V17)/Datos!V17,(Datos!L17+Datos!AF17-(Datos!V17+Datos!AN17))/(Datos!V17+Datos!AN17))," - ")</f>
        <v>9.7777777777777783E-2</v>
      </c>
      <c r="H17" s="244">
        <f>IF(ISNUMBER((Datos!M17-Datos!W17)/Datos!W17),(Datos!M17-Datos!W17)/Datos!W17," - ")</f>
        <v>0.34444444444444444</v>
      </c>
      <c r="I17" s="395">
        <f>IF(ISNUMBER((Tasas!C17-Datos!BE17)/Datos!BE17),(Tasas!C17-Datos!BE17)/Datos!BE17," - ")</f>
        <v>-6.8363979255068263E-2</v>
      </c>
      <c r="J17" s="394">
        <f>IF(ISNUMBER((Tasas!D17-Datos!BF17)/Datos!BF17),(Tasas!D17-Datos!BF17)/Datos!BF17," - ")</f>
        <v>0.140971239981141</v>
      </c>
      <c r="K17" s="396">
        <f>IF(ISNUMBER((Tasas!E17-Datos!BG17)/Datos!BG17),(Tasas!E17-Datos!BG17)/Datos!BG17," - ")</f>
        <v>-4.3356995451970706E-2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0.7021276595744681</v>
      </c>
      <c r="E18" s="393">
        <f>IF(ISNUMBER(
   IF(D_I="SI",(Datos!J18-Datos!T18)/Datos!T18,(Datos!J18+Datos!AD18-(Datos!T18+Datos!AL18))/(Datos!T18+Datos!AL18))
     ),IF(D_I="SI",(Datos!J18-Datos!T18)/Datos!T18,(Datos!J18+Datos!AD18-(Datos!T18+Datos!AL18))/(Datos!T18+Datos!AL18))," - ")</f>
        <v>1.0129870129870129</v>
      </c>
      <c r="F18" s="393">
        <f>IF(ISNUMBER(
   IF(D_I="SI",(Datos!K18-Datos!U18)/Datos!U18,(Datos!K18+Datos!AE18-(Datos!U18+Datos!AM18))/(Datos!U18+Datos!AM18))
     ),IF(D_I="SI",(Datos!K18-Datos!U18)/Datos!U18,(Datos!K18+Datos!AE18-(Datos!U18+Datos!AM18))/(Datos!U18+Datos!AM18))," - ")</f>
        <v>1.2916666666666667</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1.6</v>
      </c>
      <c r="I18" s="395">
        <f>IF(ISNUMBER((Tasas!C18-Datos!BE18)/Datos!BE18),(Tasas!C18-Datos!BE18)/Datos!BE18," - ")</f>
        <v>-0.45454545454545453</v>
      </c>
      <c r="J18" s="394">
        <f>IF(ISNUMBER((Tasas!D18-Datos!BF18)/Datos!BF18),(Tasas!D18-Datos!BF18)/Datos!BF18," - ")</f>
        <v>0.13454545454545441</v>
      </c>
      <c r="K18" s="396">
        <f>IF(ISNUMBER((Tasas!E18-Datos!BG18)/Datos!BG18),(Tasas!E18-Datos!BG18)/Datos!BG18," - ")</f>
        <v>-0.17302052785923755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0.12313937753721245</v>
      </c>
      <c r="E23" s="399">
        <f>IF(ISNUMBER(
   IF(D_I="SI",(Datos!J23-Datos!T23)/Datos!T23,(Datos!J23+Datos!AD23-(Datos!T23+Datos!AL23))/(Datos!T23+Datos!AL23))
     ),IF(D_I="SI",(Datos!J23-Datos!T23)/Datos!T23,(Datos!J23+Datos!AD23-(Datos!T23+Datos!AL23))/(Datos!T23+Datos!AL23))," - ")</f>
        <v>0.2747747747747748</v>
      </c>
      <c r="F23" s="399">
        <f>IF(ISNUMBER(
   IF(D_I="SI",(Datos!K23-Datos!U23)/Datos!U23,(Datos!K23+Datos!AE23-(Datos!U23+Datos!AM23))/(Datos!U23+Datos!AM23))
     ),IF(D_I="SI",(Datos!K23-Datos!U23)/Datos!U23,(Datos!K23+Datos!AE23-(Datos!U23+Datos!AM23))/(Datos!U23+Datos!AM23))," - ")</f>
        <v>0.29761904761904762</v>
      </c>
      <c r="G23" s="400">
        <f>IF(ISNUMBER(
   IF(D_I="SI",(Datos!L23-Datos!V23)/Datos!V23,(Datos!L23+Datos!AF23-(Datos!V23+Datos!AN23))/(Datos!V23+Datos!AN23))
     ),IF(D_I="SI",(Datos!L23-Datos!V23)/Datos!V23,(Datos!L23+Datos!AF23-(Datos!V23+Datos!AN23))/(Datos!V23+Datos!AN23))," - ")</f>
        <v>0.1094391244870041</v>
      </c>
      <c r="H23" s="401">
        <f>IF(ISNUMBER((Datos!M23-Datos!W23)/Datos!W23),(Datos!M23-Datos!W23)/Datos!W23," - ")</f>
        <v>0.47</v>
      </c>
      <c r="I23" s="402">
        <f>IF(ISNUMBER((Tasas!C23-Datos!BE23)/Datos!BE23),(Tasas!C23-Datos!BE23)/Datos!BE23," - ")</f>
        <v>-0.14501939030359318</v>
      </c>
      <c r="J23" s="400">
        <f>IF(ISNUMBER((Tasas!D23-Datos!BF23)/Datos!BF23),(Tasas!D23-Datos!BF23)/Datos!BF23," - ")</f>
        <v>0.13284403669724765</v>
      </c>
      <c r="K23" s="403">
        <f>IF(ISNUMBER((Tasas!E23-Datos!BG23)/Datos!BG23),(Tasas!E23-Datos!BG23)/Datos!BG23," - ")</f>
        <v>-7.9068856312644778E-2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2.1611001964636542E-2</v>
      </c>
      <c r="E31" s="409">
        <f>IF(ISNUMBER(
   IF(J_V="SI",(Datos!J31-Datos!T31)/Datos!T31,(Datos!J31+Datos!Z31-(Datos!T31+Datos!AH31))/(Datos!T31+Datos!AH31))
     ),IF(J_V="SI",(Datos!J31-Datos!T31)/Datos!T31,(Datos!J31+Datos!Z31-(Datos!T31+Datos!AH31))/(Datos!T31+Datos!AH31))," - ")</f>
        <v>7.5415676959619954E-2</v>
      </c>
      <c r="F31" s="409">
        <f>IF(ISNUMBER(
   IF(J_V="SI",(Datos!K31-Datos!U31)/Datos!U31,(Datos!K31+Datos!AA31-(Datos!U31+Datos!AI31))/(Datos!U31+Datos!AI31))
     ),IF(J_V="SI",(Datos!K31-Datos!U31)/Datos!U31,(Datos!K31+Datos!AA31-(Datos!U31+Datos!AI31))/(Datos!U31+Datos!AI31))," - ")</f>
        <v>9.1288782816229111E-2</v>
      </c>
      <c r="G31" s="410">
        <f>IF(ISNUMBER(
   IF(J_V="SI",(Datos!L31-Datos!V31)/Datos!V31,(Datos!L31+Datos!AB31-(Datos!V31+Datos!AJ31))/(Datos!V31+Datos!AJ31))
     ),IF(J_V="SI",(Datos!L31-Datos!V31)/Datos!V31,(Datos!L31+Datos!AB31-(Datos!V31+Datos!AJ31))/(Datos!V31+Datos!AJ31))," - ")</f>
        <v>1.0738691832085909E-2</v>
      </c>
      <c r="H31" s="411">
        <f>IF(ISNUMBER((Datos!M31-Datos!W31)/Datos!W31),(Datos!M31-Datos!W31)/Datos!W31," - ")</f>
        <v>0.14057507987220447</v>
      </c>
      <c r="I31" s="408">
        <f>IF(ISNUMBER((Tasas!C31-Datos!BE31)/Datos!BE31),(Tasas!C31-Datos!BE31)/Datos!BE31," - ")</f>
        <v>-7.3811893105207249E-2</v>
      </c>
      <c r="J31" s="409">
        <f>IF(ISNUMBER((Tasas!D31-Datos!BF31)/Datos!BF31),(Tasas!D31-Datos!BF31)/Datos!BF31," - ")</f>
        <v>-0.37209953941037394</v>
      </c>
      <c r="K31" s="410">
        <f>IF(ISNUMBER((Tasas!E31-Datos!BG31)/Datos!BG31),(Tasas!E31-Datos!BG31)/Datos!BG31," - ")</f>
        <v>-4.6325314148650001E-2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0.28908679738645998</v>
      </c>
      <c r="E33" s="303">
        <f t="shared" si="1"/>
        <v>1.3098431658477154</v>
      </c>
      <c r="F33" s="303">
        <f t="shared" si="1"/>
        <v>0.61126519908547117</v>
      </c>
      <c r="G33" s="304">
        <f t="shared" si="1"/>
        <v>0.10274532620697734</v>
      </c>
      <c r="H33" s="310">
        <f t="shared" si="1"/>
        <v>0.66352781329760169</v>
      </c>
      <c r="I33" s="302">
        <f t="shared" si="1"/>
        <v>0.19875920038295866</v>
      </c>
      <c r="J33" s="303">
        <f t="shared" si="1"/>
        <v>0.33566371772096343</v>
      </c>
      <c r="K33" s="304">
        <f t="shared" si="1"/>
        <v>8.1416653756630236E-2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oAkUME82OgiK5JtjwcUS31oUQnKfEsgu5e3pQ6vofGhy0RUs+MhPsimlmX2+rdZI70hDowR9o9ghPKsCaHXtg==" saltValue="JuUfjdQhkRabkLFSgx9v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